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7515" tabRatio="782" activeTab="2"/>
  </bookViews>
  <sheets>
    <sheet name="PL I-Doi tuong" sheetId="1" r:id="rId1"/>
    <sheet name="PL XII-VX,VT,BM" sheetId="2" r:id="rId2"/>
    <sheet name="PL XIII. Kinh phi" sheetId="3" r:id="rId3"/>
  </sheets>
  <definedNames>
    <definedName name="_xlnm.Print_Titles" localSheetId="2">'PL XIII. Kinh phi'!$6:$7</definedName>
  </definedNames>
  <calcPr fullCalcOnLoad="1"/>
</workbook>
</file>

<file path=xl/sharedStrings.xml><?xml version="1.0" encoding="utf-8"?>
<sst xmlns="http://schemas.openxmlformats.org/spreadsheetml/2006/main" count="168" uniqueCount="143">
  <si>
    <t>Tổng cộng</t>
  </si>
  <si>
    <t>-----------------------------------</t>
  </si>
  <si>
    <t>I</t>
  </si>
  <si>
    <t>II</t>
  </si>
  <si>
    <t>III</t>
  </si>
  <si>
    <t>IV</t>
  </si>
  <si>
    <t>V</t>
  </si>
  <si>
    <t>STT</t>
  </si>
  <si>
    <t>Cái</t>
  </si>
  <si>
    <t>Tờ</t>
  </si>
  <si>
    <t>Liều</t>
  </si>
  <si>
    <t>Kg</t>
  </si>
  <si>
    <t>Lít</t>
  </si>
  <si>
    <t>Nội dung</t>
  </si>
  <si>
    <t xml:space="preserve">Đơn vị
 tính </t>
  </si>
  <si>
    <t>Số 
lượng</t>
  </si>
  <si>
    <t>Mức
 chi</t>
  </si>
  <si>
    <t>TT Kiểm soát bệnh tật</t>
  </si>
  <si>
    <t>TTYT 
Đăk Hà</t>
  </si>
  <si>
    <t>TTYT 
Đăk Tô</t>
  </si>
  <si>
    <t>TTYT 
Ngọc Hồi</t>
  </si>
  <si>
    <t>TTYT 
Sa Thầy</t>
  </si>
  <si>
    <t>A</t>
  </si>
  <si>
    <t>B</t>
  </si>
  <si>
    <t>3=1 x 2</t>
  </si>
  <si>
    <t>VẮC XIN VÀ VẬT TƯ TIÊM CHỦNG</t>
  </si>
  <si>
    <t xml:space="preserve">Hộp an toàn </t>
  </si>
  <si>
    <t xml:space="preserve">Bông y tế </t>
  </si>
  <si>
    <t xml:space="preserve">Cồn y tế </t>
  </si>
  <si>
    <t>Lit</t>
  </si>
  <si>
    <t>CHI HỖ TRỢ CÔNG TIÊM</t>
  </si>
  <si>
    <t>Lượt mũi
 tiêm</t>
  </si>
  <si>
    <t>Lượt ngày</t>
  </si>
  <si>
    <t>Ghi chú:</t>
  </si>
  <si>
    <t>ngàn đồng</t>
  </si>
  <si>
    <t>TTYT 
Tu Mơ Rông</t>
  </si>
  <si>
    <t>TTYT 
Đăk Glei</t>
  </si>
  <si>
    <t>TTYT 
Kon Rẫy</t>
  </si>
  <si>
    <t>TTYT 
Ia H'Drai</t>
  </si>
  <si>
    <t>ĐVT: Ngàn đồng</t>
  </si>
  <si>
    <t>Phân theo các đơn vị sử dụng</t>
  </si>
  <si>
    <t>C</t>
  </si>
  <si>
    <t xml:space="preserve">Vắc xin </t>
  </si>
  <si>
    <t>Km</t>
  </si>
  <si>
    <t>Lượt Ngưởi</t>
  </si>
  <si>
    <t>VI</t>
  </si>
  <si>
    <t>VII</t>
  </si>
  <si>
    <t>TỔNG CỘNG</t>
  </si>
  <si>
    <t xml:space="preserve">Áp dụng văn bản về nội dung mức chi </t>
  </si>
  <si>
    <t>Theo thực tế</t>
  </si>
  <si>
    <t>Kinh phí do Trung ương cấp trực tiếp bằng hiện vật</t>
  </si>
  <si>
    <t>Giấy mời (khổ A4)</t>
  </si>
  <si>
    <t>2. Kinh phí ngân sách tỉnh đảm bảo cho các đơn vị</t>
  </si>
  <si>
    <t xml:space="preserve">   Trong đó: - Tuyến tỉnh (CDC):</t>
  </si>
  <si>
    <t xml:space="preserve">                      - Tuyến huyện (Trung tâm Y tế):</t>
  </si>
  <si>
    <t>Phiếu đồng ý tham gia TC vắc xin COVID-19 (khổ A4)</t>
  </si>
  <si>
    <t>CHI PHÍ VẬN CHUYỂN VẮC XIN, VẬT TƯ</t>
  </si>
  <si>
    <t>1. Kinh phí Trung ương hỗ trợ (bao gồm vắc xin phòng COVID-19, bơm kim tiêm, hộp an toàn) cấp trực tiếp bằng hiện vật.</t>
  </si>
  <si>
    <t>--------------------------------------------------------------</t>
  </si>
  <si>
    <t>Giấy xác nhận đã tiêm (bìa cứng khổ A5)</t>
  </si>
  <si>
    <t>HỖ TRỢ XỬ LÝ RÁC THẢI</t>
  </si>
  <si>
    <t>CHI PHÍ TUYẾN TỈNH (CDC) GIÁM SÁT, ĐIỀU TRA PHẢN ỨNG SAU TIÊM CHỦNG</t>
  </si>
  <si>
    <t>Chi phí đi lại</t>
  </si>
  <si>
    <t>Phụ lục I</t>
  </si>
  <si>
    <t>TTYT 
Kon Plông</t>
  </si>
  <si>
    <t>Nghị quyết số 58/NQ-CP ngày 08/6/2021 của Chính phủ</t>
  </si>
  <si>
    <t>CHI PHÍ IN ẤN TÀI LIỆU</t>
  </si>
  <si>
    <t>Chi phí hủy bơm kim tiêm: 150 cái/kg x 50.000đ/kg</t>
  </si>
  <si>
    <t>CHI KHÁC</t>
  </si>
  <si>
    <t>Lượt 
ngày</t>
  </si>
  <si>
    <t>Chai</t>
  </si>
  <si>
    <t>Theo hướng dẫn của Bộ Y tế tại QĐ số 1210/QĐ-BYT ngày 09/02/2021 và mức chi theo Thông tư số 40/2017/TT-BTC ngày 28/4/2017 của Bộ Tài chính</t>
  </si>
  <si>
    <t>Phiếu hướng dẫn theo dõi sau tiêm chủng vắc xin phòng COVID-19 (khổ A4)</t>
  </si>
  <si>
    <t>TTYT 
TP Kon Tum</t>
  </si>
  <si>
    <t>Bơm kim tiêm 0,5ml</t>
  </si>
  <si>
    <t>Huyện/
TP</t>
  </si>
  <si>
    <t>Chi phí mua thuốc chống sốc và các vật tư liên quan...): 500.000/đợt x 10 huyện,TP</t>
  </si>
  <si>
    <t>Công tác phí cho lái xe và cán bộ dược vận chuyển vắc xin từ tỉnh đến huyện: 09 huyện x 2 người/lượt</t>
  </si>
  <si>
    <t>Xăng xe</t>
  </si>
  <si>
    <t>TT</t>
  </si>
  <si>
    <t>Nhu cầu vật tư tiêm chủng</t>
  </si>
  <si>
    <t>Nhu cầu biểu mẫu</t>
  </si>
  <si>
    <t>BKT 0,5ml</t>
  </si>
  <si>
    <t>Hộp an toàn</t>
  </si>
  <si>
    <t>Bông</t>
  </si>
  <si>
    <t>Cồn</t>
  </si>
  <si>
    <t>Giấy xác nhận đã tiêm</t>
  </si>
  <si>
    <t>Phiếu đồng ý tham gia TC vắc xin COVID-19</t>
  </si>
  <si>
    <t>Ngọc Hồi</t>
  </si>
  <si>
    <t>Đăk Hà</t>
  </si>
  <si>
    <t>Đăk Tô</t>
  </si>
  <si>
    <t>Tu Mơ Rông</t>
  </si>
  <si>
    <t>Đăk Glei</t>
  </si>
  <si>
    <t>Kon Rẫy</t>
  </si>
  <si>
    <t>Kon Plông</t>
  </si>
  <si>
    <t>Sa Thầy</t>
  </si>
  <si>
    <t>Ia H'Drai</t>
  </si>
  <si>
    <t>Tờ khai y tế</t>
  </si>
  <si>
    <t>Phiếu hướng dẫn theo dõi sau tiêm chủng</t>
  </si>
  <si>
    <t xml:space="preserve">Hỗ trợ công tiêm chủng: Tổng số lượt mũi tiêm x 7.500đ/mũi </t>
  </si>
  <si>
    <t>Tờ khai y tế (khổ A4)</t>
  </si>
  <si>
    <t>Phiếu sàng lọc trước TC vắc xin phòng COVID-19 (khổ A4)</t>
  </si>
  <si>
    <t>Phiếu điều tra đối tượng (khổ A4)</t>
  </si>
  <si>
    <t>Tò</t>
  </si>
  <si>
    <t>Mua nước sát khuẩn: 05 chai/huyện x 10 huyện,TP x 95.000k/chai</t>
  </si>
  <si>
    <t>(Kèm theo Kế hoạch số        /KH-SYT ngày     /    /2021 của Sở Y tế tỉnh Kon Tum)</t>
  </si>
  <si>
    <t>Huyện</t>
  </si>
  <si>
    <t>Nhu cầu vắc xin</t>
  </si>
  <si>
    <t>Phiếu điều tra</t>
  </si>
  <si>
    <t>Phiếu sàng lọc trước TC vắc xin phòng COVID-19</t>
  </si>
  <si>
    <t>Thành phố Kon Tum</t>
  </si>
  <si>
    <t>Tổng cộng:</t>
  </si>
  <si>
    <t>(Kèm theo Kế hoạch số      /KH-SYT ngày   /   /2021 của Sở Y tế tỉnh Kon Tum)</t>
  </si>
  <si>
    <t>Huyện/thành phố</t>
  </si>
  <si>
    <t>Nhóm đối tượng ưu tiên tiêm (theo Nghị quyết số 21/NQ-CP)</t>
  </si>
  <si>
    <t>Đối tượng cần tiêm mũi 2</t>
  </si>
  <si>
    <r>
      <t xml:space="preserve">Nhóm 1
</t>
    </r>
    <r>
      <rPr>
        <i/>
        <sz val="13"/>
        <rFont val="Times New Roman"/>
        <family val="1"/>
      </rPr>
      <t>(bổ sung)</t>
    </r>
  </si>
  <si>
    <t>Cộng</t>
  </si>
  <si>
    <t>-----------------------------------------</t>
  </si>
  <si>
    <t>DỰ KIẾN ĐỐI TƯỢNG TRIỂN KHAI TIÊM (ĐỢT 5) VẮC XIN PHÒNG COVID-19 
TRÊN ĐỊA BÀN TỈNH KON TUM NĂM 2021</t>
  </si>
  <si>
    <t>Nhóm 2</t>
  </si>
  <si>
    <t>Nhóm 3</t>
  </si>
  <si>
    <t>Nhóm 9</t>
  </si>
  <si>
    <t>Đối tượng cần tiêm 2 mũi đợt 5</t>
  </si>
  <si>
    <t xml:space="preserve">Tổng </t>
  </si>
  <si>
    <t>7=4+5+6</t>
  </si>
  <si>
    <t>9=7+8</t>
  </si>
  <si>
    <t>Vắc xin AstraZeneca</t>
  </si>
  <si>
    <t xml:space="preserve">Vắc xin Spikevax 
</t>
  </si>
  <si>
    <t>Phụ cấp công tác phí: 03 người/huyện x 01 ngày/huyện x 9 huyện (bao gồm cả lái xe)</t>
  </si>
  <si>
    <t>Hỗ trợ cán bộ thu gom, vận chuyển rác thải thiêu huỷ: 100.000đ/ngày x 2 lượt ngày/huyện x 09 huyện,TP, riêng TPKT: 5 lượt ngày</t>
  </si>
  <si>
    <t>Thuê phông, rạp, bàn ghế phục vụ chờ và theo dõi sau tiêm cho các đối tượng tiêm chủng: 1.000.000đ/ngày x 2 lượt ngày/huyện x 09 huyện, riêng TPKT 5 ngày</t>
  </si>
  <si>
    <t>NHU CẦU VẮC XIN, VẬT TƯ TIÊM CHỦNG VÀ BIỂU MẪU (ĐỢT 5)</t>
  </si>
  <si>
    <t>Ghi chú: 'Số vắc xin Spikevax-Moderna cấp cho TTYT thành phố Kon Tum sẽ được chia làm 2 lần để đảm bảo các đối tượng sẽ được tiêm đủ 2 mũi trong đợt 5.</t>
  </si>
  <si>
    <t>Tổng số đối tượng tiêm đợt 5</t>
  </si>
  <si>
    <t>Giấy
 mời</t>
  </si>
  <si>
    <t>Công văn số 102/MT-YT ngày 04/3/2021 “Hướng dẫn quản lý chất thải y tế trong tiêm chủng vắc xin phòng COVID-19 và chi phí thực tế</t>
  </si>
  <si>
    <t>Các biểu mẫu in ấn theo yêu cầu của Bộ Y tế và chi phí theo thực tế</t>
  </si>
  <si>
    <t>Theo các văn bản hướng dẫn về tiêm chủng an toàn của Bộ Y tế và chi phí thực tế phát sinh trong quá trình triển khai tiêm chủng</t>
  </si>
  <si>
    <t>DỰ TOÁN KINH PHÍ TRIỂN KHAI TIÊM (ĐỢT5) VẮC XIN PHÒNG COVID-19 NĂM 2021 TRÊN ĐỊA BÀN TỈNH KON TUM</t>
  </si>
  <si>
    <t>Phụ lục XII</t>
  </si>
  <si>
    <t>Phụ lục XIII</t>
  </si>
  <si>
    <t>(Kèm theo Kế hoạch số 3683/KH-SYT ngày  09/8/2021 của Sở Y tế tỉnh Kon Tum)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</si>
</sst>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[$-409]dddd\,\ mmmm\ dd\,\ yyyy"/>
    <numFmt numFmtId="189" formatCode="[$-409]h:mm:ss\ AM/PM"/>
    <numFmt numFmtId="190" formatCode="#,##0.0"/>
    <numFmt numFmtId="191" formatCode="#,##0.000"/>
    <numFmt numFmtId="192" formatCode="&quot;$&quot;#,##0.00"/>
    <numFmt numFmtId="193" formatCode="_(* #,##0_);_(* \(#,##0\);_(* &quot;-&quot;??_);_(@_)"/>
    <numFmt numFmtId="194" formatCode="0.0000000000"/>
    <numFmt numFmtId="195" formatCode="00000"/>
    <numFmt numFmtId="196" formatCode="mmm\-yyyy"/>
    <numFmt numFmtId="197" formatCode="#,##0;[Red]#,##0"/>
    <numFmt numFmtId="198" formatCode="_(* #,##0.0_);_(* \(#,##0.0\);_(* &quot;-&quot;??_);_(@_)"/>
    <numFmt numFmtId="199" formatCode="_(* #,##0.000_);_(* \(#,##0.000\);_(* &quot;-&quot;??_);_(@_)"/>
    <numFmt numFmtId="200" formatCode="_-* #.##0.0_-;\-* #.##0.0_-;_-* &quot;-&quot;?_-;_-@_-"/>
    <numFmt numFmtId="201" formatCode="_-* #.##0.00_-;\-* #.##0.00_-;_-* &quot;-&quot;??_-;_-@_-"/>
    <numFmt numFmtId="202" formatCode="#.##0"/>
    <numFmt numFmtId="203" formatCode="#.##00"/>
    <numFmt numFmtId="204" formatCode="#.##"/>
    <numFmt numFmtId="205" formatCode="#.#"/>
    <numFmt numFmtId="206" formatCode="#"/>
    <numFmt numFmtId="207" formatCode="_(&quot;$&quot;* #.##0_);_(&quot;$&quot;* \(#.##0\);_(&quot;$&quot;* &quot;-&quot;_);_(@_)"/>
    <numFmt numFmtId="208" formatCode="_(* #.##0.00_);_(* \(#.##0.00\);_(* &quot;-&quot;??_);_(@_)"/>
    <numFmt numFmtId="209" formatCode="[$-809]dd\ mmmm\ yyyy"/>
    <numFmt numFmtId="210" formatCode="_(* #,##0.0_);_(* \(#,##0.0\);_(* &quot;-&quot;?_);_(@_)"/>
    <numFmt numFmtId="211" formatCode="0_);\(0\)"/>
    <numFmt numFmtId="212" formatCode="0;[Red]0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_-* #.##0._-;\-* #.##0._-;_-* &quot;-&quot;?_-;_-@_-"/>
    <numFmt numFmtId="217" formatCode="_-* #.##._-;\-* #.##._-;_-* &quot;-&quot;?_-;_-@_ⴆ"/>
    <numFmt numFmtId="218" formatCode="_-* #.#._-;\-* #.#._-;_-* &quot;-&quot;?_-;_-@_ⴆ"/>
    <numFmt numFmtId="219" formatCode="_-* #.;\-* #.;_-* &quot;-&quot;?_-;_-@_ⴆ"/>
    <numFmt numFmtId="220" formatCode="_(* #,##0.0000000_);_(* \(#,##0.0000000\);_(* &quot;-&quot;??_);_(@_)"/>
    <numFmt numFmtId="221" formatCode="_-* #,##0.0\ _₫_-;\-* #,##0.0\ _₫_-;_-* &quot;-&quot;?\ _₫_-;_-@_-"/>
    <numFmt numFmtId="222" formatCode="_-* #.##0.00\ _₫_-;\-* #.##0.00\ _₫_-;_-* &quot;-&quot;??\ _₫_-;_-@_-"/>
  </numFmts>
  <fonts count="66">
    <font>
      <sz val="12"/>
      <name val="Times New Roman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1"/>
      <color indexed="8"/>
      <name val="Calibri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4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1"/>
      <color theme="1"/>
      <name val="Calibri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93" fontId="1" fillId="0" borderId="0" xfId="42" applyNumberFormat="1" applyFont="1" applyBorder="1" applyAlignment="1">
      <alignment/>
    </xf>
    <xf numFmtId="193" fontId="1" fillId="0" borderId="0" xfId="42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8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wrapText="1"/>
    </xf>
    <xf numFmtId="193" fontId="9" fillId="32" borderId="10" xfId="42" applyNumberFormat="1" applyFont="1" applyFill="1" applyBorder="1" applyAlignment="1">
      <alignment horizontal="center" vertical="center" wrapText="1"/>
    </xf>
    <xf numFmtId="193" fontId="9" fillId="32" borderId="10" xfId="42" applyNumberFormat="1" applyFont="1" applyFill="1" applyBorder="1" applyAlignment="1">
      <alignment vertical="center" wrapText="1"/>
    </xf>
    <xf numFmtId="0" fontId="9" fillId="32" borderId="0" xfId="0" applyFont="1" applyFill="1" applyAlignment="1">
      <alignment/>
    </xf>
    <xf numFmtId="0" fontId="9" fillId="32" borderId="10" xfId="0" applyFont="1" applyFill="1" applyBorder="1" applyAlignment="1">
      <alignment vertical="center" wrapText="1"/>
    </xf>
    <xf numFmtId="43" fontId="9" fillId="32" borderId="10" xfId="42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/>
    </xf>
    <xf numFmtId="193" fontId="9" fillId="32" borderId="10" xfId="42" applyNumberFormat="1" applyFont="1" applyFill="1" applyBorder="1" applyAlignment="1">
      <alignment horizontal="center" vertical="center"/>
    </xf>
    <xf numFmtId="198" fontId="9" fillId="32" borderId="10" xfId="4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3" fontId="10" fillId="0" borderId="0" xfId="42" applyNumberFormat="1" applyFont="1" applyAlignment="1">
      <alignment/>
    </xf>
    <xf numFmtId="193" fontId="61" fillId="0" borderId="0" xfId="42" applyNumberFormat="1" applyFont="1" applyAlignment="1">
      <alignment/>
    </xf>
    <xf numFmtId="193" fontId="10" fillId="0" borderId="0" xfId="0" applyNumberFormat="1" applyFont="1" applyAlignment="1">
      <alignment/>
    </xf>
    <xf numFmtId="193" fontId="10" fillId="0" borderId="0" xfId="0" applyNumberFormat="1" applyFont="1" applyAlignment="1">
      <alignment/>
    </xf>
    <xf numFmtId="193" fontId="10" fillId="0" borderId="0" xfId="42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9" fillId="32" borderId="0" xfId="0" applyFont="1" applyFill="1" applyAlignment="1">
      <alignment vertical="center"/>
    </xf>
    <xf numFmtId="193" fontId="9" fillId="32" borderId="0" xfId="0" applyNumberFormat="1" applyFont="1" applyFill="1" applyAlignment="1">
      <alignment vertical="center"/>
    </xf>
    <xf numFmtId="0" fontId="1" fillId="32" borderId="0" xfId="0" applyFont="1" applyFill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Border="1" applyAlignment="1">
      <alignment/>
    </xf>
    <xf numFmtId="19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93" fontId="9" fillId="0" borderId="10" xfId="42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193" fontId="8" fillId="33" borderId="10" xfId="42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93" fontId="6" fillId="0" borderId="0" xfId="0" applyNumberFormat="1" applyFont="1" applyAlignment="1">
      <alignment/>
    </xf>
    <xf numFmtId="193" fontId="6" fillId="0" borderId="0" xfId="42" applyNumberFormat="1" applyFont="1" applyAlignment="1">
      <alignment horizontal="left"/>
    </xf>
    <xf numFmtId="193" fontId="6" fillId="0" borderId="0" xfId="0" applyNumberFormat="1" applyFont="1" applyAlignment="1">
      <alignment horizontal="center"/>
    </xf>
    <xf numFmtId="193" fontId="6" fillId="0" borderId="0" xfId="0" applyNumberFormat="1" applyFont="1" applyAlignment="1">
      <alignment/>
    </xf>
    <xf numFmtId="0" fontId="63" fillId="0" borderId="0" xfId="0" applyFont="1" applyAlignment="1">
      <alignment/>
    </xf>
    <xf numFmtId="193" fontId="10" fillId="0" borderId="0" xfId="42" applyNumberFormat="1" applyFont="1" applyAlignment="1">
      <alignment/>
    </xf>
    <xf numFmtId="193" fontId="6" fillId="0" borderId="0" xfId="42" applyNumberFormat="1" applyFont="1" applyAlignment="1">
      <alignment/>
    </xf>
    <xf numFmtId="0" fontId="9" fillId="32" borderId="10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center" vertical="center"/>
    </xf>
    <xf numFmtId="193" fontId="15" fillId="32" borderId="10" xfId="42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15" fillId="32" borderId="0" xfId="0" applyFont="1" applyFill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193" fontId="9" fillId="32" borderId="10" xfId="4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33" borderId="10" xfId="0" applyFont="1" applyFill="1" applyBorder="1" applyAlignment="1">
      <alignment/>
    </xf>
    <xf numFmtId="193" fontId="9" fillId="0" borderId="10" xfId="42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3" fontId="9" fillId="0" borderId="10" xfId="42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98" fontId="9" fillId="32" borderId="10" xfId="42" applyNumberFormat="1" applyFont="1" applyFill="1" applyBorder="1" applyAlignment="1">
      <alignment horizontal="center" vertical="center"/>
    </xf>
    <xf numFmtId="193" fontId="9" fillId="32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 quotePrefix="1">
      <alignment horizontal="center"/>
    </xf>
    <xf numFmtId="1" fontId="16" fillId="32" borderId="10" xfId="0" applyNumberFormat="1" applyFont="1" applyFill="1" applyBorder="1" applyAlignment="1">
      <alignment horizontal="center" vertical="center" wrapText="1"/>
    </xf>
    <xf numFmtId="193" fontId="19" fillId="33" borderId="10" xfId="42" applyNumberFormat="1" applyFont="1" applyFill="1" applyBorder="1" applyAlignment="1">
      <alignment horizontal="center"/>
    </xf>
    <xf numFmtId="193" fontId="17" fillId="32" borderId="10" xfId="42" applyNumberFormat="1" applyFont="1" applyFill="1" applyBorder="1" applyAlignment="1">
      <alignment horizontal="center" vertical="center" wrapText="1"/>
    </xf>
    <xf numFmtId="193" fontId="17" fillId="0" borderId="0" xfId="0" applyNumberFormat="1" applyFont="1" applyAlignment="1">
      <alignment/>
    </xf>
    <xf numFmtId="193" fontId="16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193" fontId="8" fillId="33" borderId="10" xfId="42" applyNumberFormat="1" applyFont="1" applyFill="1" applyBorder="1" applyAlignment="1">
      <alignment horizontal="center" vertical="center" wrapText="1"/>
    </xf>
    <xf numFmtId="198" fontId="8" fillId="33" borderId="10" xfId="42" applyNumberFormat="1" applyFont="1" applyFill="1" applyBorder="1" applyAlignment="1">
      <alignment horizontal="center" vertical="center" wrapText="1"/>
    </xf>
    <xf numFmtId="193" fontId="8" fillId="33" borderId="10" xfId="42" applyNumberFormat="1" applyFont="1" applyFill="1" applyBorder="1" applyAlignment="1">
      <alignment vertical="center" wrapText="1"/>
    </xf>
    <xf numFmtId="193" fontId="19" fillId="33" borderId="10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193" fontId="8" fillId="7" borderId="10" xfId="42" applyNumberFormat="1" applyFont="1" applyFill="1" applyBorder="1" applyAlignment="1">
      <alignment/>
    </xf>
    <xf numFmtId="193" fontId="19" fillId="7" borderId="10" xfId="42" applyNumberFormat="1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198" fontId="9" fillId="32" borderId="10" xfId="42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0" fillId="0" borderId="0" xfId="0" applyFont="1" applyBorder="1" applyAlignment="1" quotePrefix="1">
      <alignment horizontal="center" vertical="center"/>
    </xf>
    <xf numFmtId="0" fontId="20" fillId="32" borderId="0" xfId="0" applyFont="1" applyFill="1" applyBorder="1" applyAlignment="1" quotePrefix="1">
      <alignment horizontal="center" vertical="center"/>
    </xf>
    <xf numFmtId="193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0" fontId="0" fillId="32" borderId="0" xfId="0" applyFont="1" applyFill="1" applyAlignment="1" quotePrefix="1">
      <alignment/>
    </xf>
    <xf numFmtId="193" fontId="0" fillId="0" borderId="0" xfId="0" applyNumberFormat="1" applyFont="1" applyAlignment="1">
      <alignment/>
    </xf>
    <xf numFmtId="193" fontId="0" fillId="32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32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93" fontId="7" fillId="0" borderId="0" xfId="42" applyNumberFormat="1" applyFont="1" applyAlignment="1">
      <alignment/>
    </xf>
    <xf numFmtId="3" fontId="1" fillId="0" borderId="0" xfId="0" applyNumberFormat="1" applyFont="1" applyAlignment="1">
      <alignment wrapText="1"/>
    </xf>
    <xf numFmtId="43" fontId="0" fillId="0" borderId="0" xfId="42" applyFont="1" applyAlignment="1">
      <alignment/>
    </xf>
    <xf numFmtId="43" fontId="8" fillId="7" borderId="10" xfId="42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93" fontId="9" fillId="0" borderId="10" xfId="42" applyNumberFormat="1" applyFont="1" applyFill="1" applyBorder="1" applyAlignment="1">
      <alignment horizontal="right" vertical="center" wrapText="1"/>
    </xf>
    <xf numFmtId="193" fontId="9" fillId="0" borderId="11" xfId="42" applyNumberFormat="1" applyFont="1" applyFill="1" applyBorder="1" applyAlignment="1">
      <alignment horizontal="right" vertical="center" wrapText="1"/>
    </xf>
    <xf numFmtId="198" fontId="9" fillId="0" borderId="11" xfId="42" applyNumberFormat="1" applyFont="1" applyFill="1" applyBorder="1" applyAlignment="1">
      <alignment horizontal="right" vertical="center" wrapText="1"/>
    </xf>
    <xf numFmtId="193" fontId="9" fillId="32" borderId="11" xfId="4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93" fontId="9" fillId="0" borderId="0" xfId="0" applyNumberFormat="1" applyFont="1" applyFill="1" applyAlignment="1">
      <alignment/>
    </xf>
    <xf numFmtId="193" fontId="9" fillId="32" borderId="0" xfId="0" applyNumberFormat="1" applyFont="1" applyFill="1" applyAlignment="1">
      <alignment/>
    </xf>
    <xf numFmtId="198" fontId="9" fillId="32" borderId="0" xfId="0" applyNumberFormat="1" applyFont="1" applyFill="1" applyAlignment="1">
      <alignment/>
    </xf>
    <xf numFmtId="193" fontId="8" fillId="7" borderId="12" xfId="42" applyNumberFormat="1" applyFont="1" applyFill="1" applyBorder="1" applyAlignment="1">
      <alignment horizontal="right" vertical="center"/>
    </xf>
    <xf numFmtId="43" fontId="8" fillId="7" borderId="12" xfId="42" applyFont="1" applyFill="1" applyBorder="1" applyAlignment="1">
      <alignment horizontal="right" vertical="center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/>
    </xf>
    <xf numFmtId="193" fontId="65" fillId="0" borderId="10" xfId="42" applyNumberFormat="1" applyFont="1" applyBorder="1" applyAlignment="1">
      <alignment vertical="center" wrapText="1"/>
    </xf>
    <xf numFmtId="193" fontId="10" fillId="0" borderId="10" xfId="42" applyNumberFormat="1" applyFont="1" applyFill="1" applyBorder="1" applyAlignment="1">
      <alignment vertical="center" wrapText="1"/>
    </xf>
    <xf numFmtId="193" fontId="12" fillId="0" borderId="10" xfId="42" applyNumberFormat="1" applyFont="1" applyFill="1" applyBorder="1" applyAlignment="1">
      <alignment vertical="center" wrapText="1"/>
    </xf>
    <xf numFmtId="193" fontId="10" fillId="32" borderId="10" xfId="42" applyNumberFormat="1" applyFont="1" applyFill="1" applyBorder="1" applyAlignment="1">
      <alignment vertical="center" wrapText="1"/>
    </xf>
    <xf numFmtId="193" fontId="12" fillId="7" borderId="12" xfId="42" applyNumberFormat="1" applyFont="1" applyFill="1" applyBorder="1" applyAlignment="1">
      <alignment vertical="center"/>
    </xf>
    <xf numFmtId="193" fontId="12" fillId="7" borderId="13" xfId="42" applyNumberFormat="1" applyFont="1" applyFill="1" applyBorder="1" applyAlignment="1">
      <alignment horizontal="center" vertical="center"/>
    </xf>
    <xf numFmtId="193" fontId="12" fillId="7" borderId="14" xfId="42" applyNumberFormat="1" applyFont="1" applyFill="1" applyBorder="1" applyAlignment="1">
      <alignment horizontal="center" vertical="center"/>
    </xf>
    <xf numFmtId="3" fontId="7" fillId="0" borderId="0" xfId="0" applyNumberFormat="1" applyFont="1" applyAlignment="1" quotePrefix="1">
      <alignment horizont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13" fillId="32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 quotePrefix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/>
    </xf>
    <xf numFmtId="0" fontId="12" fillId="7" borderId="10" xfId="0" applyFont="1" applyFill="1" applyBorder="1" applyAlignment="1">
      <alignment horizontal="center" vertical="center" wrapText="1"/>
    </xf>
    <xf numFmtId="193" fontId="10" fillId="0" borderId="0" xfId="0" applyNumberFormat="1" applyFont="1" applyAlignment="1">
      <alignment horizontal="center"/>
    </xf>
    <xf numFmtId="193" fontId="8" fillId="7" borderId="10" xfId="42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/>
    </xf>
    <xf numFmtId="193" fontId="17" fillId="32" borderId="10" xfId="42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/>
    </xf>
    <xf numFmtId="0" fontId="17" fillId="0" borderId="10" xfId="0" applyFont="1" applyBorder="1" applyAlignment="1">
      <alignment vertical="center" wrapText="1"/>
    </xf>
    <xf numFmtId="193" fontId="17" fillId="32" borderId="16" xfId="42" applyNumberFormat="1" applyFont="1" applyFill="1" applyBorder="1" applyAlignment="1">
      <alignment horizontal="center" vertical="center" wrapText="1"/>
    </xf>
    <xf numFmtId="193" fontId="17" fillId="32" borderId="11" xfId="42" applyNumberFormat="1" applyFont="1" applyFill="1" applyBorder="1" applyAlignment="1">
      <alignment horizontal="center" vertical="center" wrapText="1"/>
    </xf>
    <xf numFmtId="193" fontId="17" fillId="32" borderId="17" xfId="4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4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8" sqref="L18"/>
    </sheetView>
  </sheetViews>
  <sheetFormatPr defaultColWidth="9.00390625" defaultRowHeight="15.75"/>
  <cols>
    <col min="1" max="1" width="5.75390625" style="4" customWidth="1"/>
    <col min="2" max="2" width="19.875" style="4" customWidth="1"/>
    <col min="3" max="3" width="9.75390625" style="4" bestFit="1" customWidth="1"/>
    <col min="4" max="4" width="8.75390625" style="4" customWidth="1"/>
    <col min="5" max="6" width="10.75390625" style="4" customWidth="1"/>
    <col min="7" max="7" width="17.00390625" style="4" customWidth="1"/>
    <col min="8" max="8" width="11.00390625" style="61" customWidth="1"/>
    <col min="9" max="16384" width="9.00390625" style="4" customWidth="1"/>
  </cols>
  <sheetData>
    <row r="1" spans="1:8" ht="18.75">
      <c r="A1" s="147" t="s">
        <v>63</v>
      </c>
      <c r="B1" s="147"/>
      <c r="C1" s="147"/>
      <c r="D1" s="147"/>
      <c r="E1" s="147"/>
      <c r="F1" s="147"/>
      <c r="G1" s="147"/>
      <c r="H1" s="147"/>
    </row>
    <row r="2" spans="1:8" ht="36.75" customHeight="1">
      <c r="A2" s="148" t="s">
        <v>119</v>
      </c>
      <c r="B2" s="147"/>
      <c r="C2" s="147"/>
      <c r="D2" s="147"/>
      <c r="E2" s="147"/>
      <c r="F2" s="147"/>
      <c r="G2" s="147"/>
      <c r="H2" s="147"/>
    </row>
    <row r="3" spans="1:8" ht="18.75">
      <c r="A3" s="149" t="s">
        <v>112</v>
      </c>
      <c r="B3" s="149"/>
      <c r="C3" s="149"/>
      <c r="D3" s="149"/>
      <c r="E3" s="149"/>
      <c r="F3" s="149"/>
      <c r="G3" s="149"/>
      <c r="H3" s="149"/>
    </row>
    <row r="4" spans="1:8" ht="18.75">
      <c r="A4" s="150" t="s">
        <v>1</v>
      </c>
      <c r="B4" s="150"/>
      <c r="C4" s="150"/>
      <c r="D4" s="150"/>
      <c r="E4" s="150"/>
      <c r="F4" s="150"/>
      <c r="G4" s="150"/>
      <c r="H4" s="150"/>
    </row>
    <row r="5" spans="1:8" ht="18.75" customHeight="1">
      <c r="A5" s="145" t="s">
        <v>79</v>
      </c>
      <c r="B5" s="145" t="s">
        <v>113</v>
      </c>
      <c r="C5" s="152" t="s">
        <v>114</v>
      </c>
      <c r="D5" s="152"/>
      <c r="E5" s="152"/>
      <c r="F5" s="152"/>
      <c r="G5" s="152"/>
      <c r="H5" s="152"/>
    </row>
    <row r="6" spans="1:8" ht="33">
      <c r="A6" s="151"/>
      <c r="B6" s="151"/>
      <c r="C6" s="142" t="s">
        <v>115</v>
      </c>
      <c r="D6" s="143"/>
      <c r="E6" s="143"/>
      <c r="F6" s="144"/>
      <c r="G6" s="99" t="s">
        <v>123</v>
      </c>
      <c r="H6" s="145" t="s">
        <v>0</v>
      </c>
    </row>
    <row r="7" spans="1:8" ht="33">
      <c r="A7" s="146"/>
      <c r="B7" s="146"/>
      <c r="C7" s="99" t="s">
        <v>116</v>
      </c>
      <c r="D7" s="99" t="s">
        <v>120</v>
      </c>
      <c r="E7" s="99" t="s">
        <v>121</v>
      </c>
      <c r="F7" s="99" t="s">
        <v>124</v>
      </c>
      <c r="G7" s="99" t="s">
        <v>122</v>
      </c>
      <c r="H7" s="146"/>
    </row>
    <row r="8" spans="1:8" s="110" customFormat="1" ht="12.75">
      <c r="A8" s="109">
        <v>1</v>
      </c>
      <c r="B8" s="109">
        <v>2</v>
      </c>
      <c r="C8" s="109">
        <v>4</v>
      </c>
      <c r="D8" s="109">
        <v>5</v>
      </c>
      <c r="E8" s="109">
        <v>6</v>
      </c>
      <c r="F8" s="109" t="s">
        <v>125</v>
      </c>
      <c r="G8" s="109">
        <v>8</v>
      </c>
      <c r="H8" s="109" t="s">
        <v>126</v>
      </c>
    </row>
    <row r="9" spans="1:8" s="113" customFormat="1" ht="26.25" customHeight="1">
      <c r="A9" s="111">
        <v>1</v>
      </c>
      <c r="B9" s="112" t="s">
        <v>110</v>
      </c>
      <c r="C9" s="134">
        <v>1095</v>
      </c>
      <c r="D9" s="135">
        <v>0</v>
      </c>
      <c r="E9" s="135">
        <v>2219</v>
      </c>
      <c r="F9" s="135">
        <f>SUM(C9:E9)</f>
        <v>3314</v>
      </c>
      <c r="G9" s="135">
        <v>5100</v>
      </c>
      <c r="H9" s="136">
        <f>G9+F9</f>
        <v>8414</v>
      </c>
    </row>
    <row r="10" spans="1:9" s="34" customFormat="1" ht="26.25" customHeight="1">
      <c r="A10" s="111">
        <v>2</v>
      </c>
      <c r="B10" s="114" t="s">
        <v>89</v>
      </c>
      <c r="C10" s="137">
        <v>446</v>
      </c>
      <c r="D10" s="137">
        <v>0</v>
      </c>
      <c r="E10" s="137">
        <v>208</v>
      </c>
      <c r="F10" s="135">
        <f aca="true" t="shared" si="0" ref="F10:F18">SUM(C10:E10)</f>
        <v>654</v>
      </c>
      <c r="G10" s="137">
        <v>0</v>
      </c>
      <c r="H10" s="136">
        <f aca="true" t="shared" si="1" ref="H10:H18">G10+F10</f>
        <v>654</v>
      </c>
      <c r="I10" s="113"/>
    </row>
    <row r="11" spans="1:9" s="34" customFormat="1" ht="26.25" customHeight="1">
      <c r="A11" s="111">
        <v>3</v>
      </c>
      <c r="B11" s="114" t="s">
        <v>90</v>
      </c>
      <c r="C11" s="137">
        <v>175</v>
      </c>
      <c r="D11" s="137">
        <v>0</v>
      </c>
      <c r="E11" s="137">
        <v>257</v>
      </c>
      <c r="F11" s="135">
        <f t="shared" si="0"/>
        <v>432</v>
      </c>
      <c r="G11" s="137">
        <v>0</v>
      </c>
      <c r="H11" s="136">
        <f t="shared" si="1"/>
        <v>432</v>
      </c>
      <c r="I11" s="113"/>
    </row>
    <row r="12" spans="1:9" s="34" customFormat="1" ht="26.25" customHeight="1">
      <c r="A12" s="111">
        <v>4</v>
      </c>
      <c r="B12" s="115" t="s">
        <v>91</v>
      </c>
      <c r="C12" s="135">
        <v>108</v>
      </c>
      <c r="D12" s="137">
        <v>0</v>
      </c>
      <c r="E12" s="135">
        <v>119</v>
      </c>
      <c r="F12" s="135">
        <f t="shared" si="0"/>
        <v>227</v>
      </c>
      <c r="G12" s="137">
        <v>0</v>
      </c>
      <c r="H12" s="136">
        <f t="shared" si="1"/>
        <v>227</v>
      </c>
      <c r="I12" s="113"/>
    </row>
    <row r="13" spans="1:9" s="34" customFormat="1" ht="26.25" customHeight="1">
      <c r="A13" s="111">
        <v>5</v>
      </c>
      <c r="B13" s="114" t="s">
        <v>88</v>
      </c>
      <c r="C13" s="137">
        <v>681</v>
      </c>
      <c r="D13" s="137">
        <v>39</v>
      </c>
      <c r="E13" s="137">
        <v>258</v>
      </c>
      <c r="F13" s="135">
        <f t="shared" si="0"/>
        <v>978</v>
      </c>
      <c r="G13" s="137">
        <v>0</v>
      </c>
      <c r="H13" s="136">
        <f t="shared" si="1"/>
        <v>978</v>
      </c>
      <c r="I13" s="113"/>
    </row>
    <row r="14" spans="1:9" s="34" customFormat="1" ht="26.25" customHeight="1">
      <c r="A14" s="111">
        <v>6</v>
      </c>
      <c r="B14" s="115" t="s">
        <v>92</v>
      </c>
      <c r="C14" s="135">
        <v>401</v>
      </c>
      <c r="D14" s="137">
        <v>0</v>
      </c>
      <c r="E14" s="135">
        <v>127</v>
      </c>
      <c r="F14" s="135">
        <f t="shared" si="0"/>
        <v>528</v>
      </c>
      <c r="G14" s="137">
        <v>0</v>
      </c>
      <c r="H14" s="136">
        <f t="shared" si="1"/>
        <v>528</v>
      </c>
      <c r="I14" s="113"/>
    </row>
    <row r="15" spans="1:9" s="34" customFormat="1" ht="26.25" customHeight="1">
      <c r="A15" s="111">
        <v>7</v>
      </c>
      <c r="B15" s="114" t="s">
        <v>94</v>
      </c>
      <c r="C15" s="137">
        <v>78</v>
      </c>
      <c r="D15" s="137">
        <v>0</v>
      </c>
      <c r="E15" s="137">
        <v>399</v>
      </c>
      <c r="F15" s="135">
        <f t="shared" si="0"/>
        <v>477</v>
      </c>
      <c r="G15" s="137">
        <v>0</v>
      </c>
      <c r="H15" s="136">
        <f t="shared" si="1"/>
        <v>477</v>
      </c>
      <c r="I15" s="113"/>
    </row>
    <row r="16" spans="1:9" s="34" customFormat="1" ht="26.25" customHeight="1">
      <c r="A16" s="111">
        <v>8</v>
      </c>
      <c r="B16" s="114" t="s">
        <v>93</v>
      </c>
      <c r="C16" s="137">
        <v>28</v>
      </c>
      <c r="D16" s="137">
        <v>0</v>
      </c>
      <c r="E16" s="137">
        <v>96</v>
      </c>
      <c r="F16" s="135">
        <f t="shared" si="0"/>
        <v>124</v>
      </c>
      <c r="G16" s="137">
        <v>0</v>
      </c>
      <c r="H16" s="136">
        <f t="shared" si="1"/>
        <v>124</v>
      </c>
      <c r="I16" s="113"/>
    </row>
    <row r="17" spans="1:9" s="34" customFormat="1" ht="26.25" customHeight="1">
      <c r="A17" s="111">
        <v>9</v>
      </c>
      <c r="B17" s="114" t="s">
        <v>95</v>
      </c>
      <c r="C17" s="137">
        <v>212</v>
      </c>
      <c r="D17" s="137">
        <v>0</v>
      </c>
      <c r="E17" s="137">
        <v>107</v>
      </c>
      <c r="F17" s="135">
        <f t="shared" si="0"/>
        <v>319</v>
      </c>
      <c r="G17" s="137">
        <v>0</v>
      </c>
      <c r="H17" s="136">
        <f t="shared" si="1"/>
        <v>319</v>
      </c>
      <c r="I17" s="113"/>
    </row>
    <row r="18" spans="1:9" s="34" customFormat="1" ht="26.25" customHeight="1">
      <c r="A18" s="111">
        <v>10</v>
      </c>
      <c r="B18" s="114" t="s">
        <v>96</v>
      </c>
      <c r="C18" s="137">
        <v>66</v>
      </c>
      <c r="D18" s="137">
        <v>0</v>
      </c>
      <c r="E18" s="137">
        <v>16</v>
      </c>
      <c r="F18" s="135">
        <f t="shared" si="0"/>
        <v>82</v>
      </c>
      <c r="G18" s="137">
        <v>0</v>
      </c>
      <c r="H18" s="136">
        <f t="shared" si="1"/>
        <v>82</v>
      </c>
      <c r="I18" s="113"/>
    </row>
    <row r="19" spans="1:8" s="116" customFormat="1" ht="24.75" customHeight="1">
      <c r="A19" s="139" t="s">
        <v>117</v>
      </c>
      <c r="B19" s="140"/>
      <c r="C19" s="138">
        <f aca="true" t="shared" si="2" ref="C19:H19">SUM(C9:C18)</f>
        <v>3290</v>
      </c>
      <c r="D19" s="138">
        <f t="shared" si="2"/>
        <v>39</v>
      </c>
      <c r="E19" s="138">
        <f t="shared" si="2"/>
        <v>3806</v>
      </c>
      <c r="F19" s="138">
        <f t="shared" si="2"/>
        <v>7135</v>
      </c>
      <c r="G19" s="138">
        <f t="shared" si="2"/>
        <v>5100</v>
      </c>
      <c r="H19" s="138">
        <f t="shared" si="2"/>
        <v>12235</v>
      </c>
    </row>
    <row r="21" spans="1:8" s="117" customFormat="1" ht="15.75" customHeight="1">
      <c r="A21" s="141" t="s">
        <v>118</v>
      </c>
      <c r="B21" s="141"/>
      <c r="C21" s="141"/>
      <c r="D21" s="141"/>
      <c r="E21" s="141"/>
      <c r="F21" s="141"/>
      <c r="G21" s="141"/>
      <c r="H21" s="141"/>
    </row>
    <row r="22" ht="18.75">
      <c r="C22" s="101"/>
    </row>
  </sheetData>
  <sheetProtection/>
  <mergeCells count="11">
    <mergeCell ref="C5:H5"/>
    <mergeCell ref="A19:B19"/>
    <mergeCell ref="A21:H21"/>
    <mergeCell ref="C6:F6"/>
    <mergeCell ref="H6:H7"/>
    <mergeCell ref="A1:H1"/>
    <mergeCell ref="A2:H2"/>
    <mergeCell ref="A3:H3"/>
    <mergeCell ref="A4:H4"/>
    <mergeCell ref="A5:A7"/>
    <mergeCell ref="B5:B7"/>
  </mergeCells>
  <printOptions/>
  <pageMargins left="0.4" right="0.1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T9" sqref="T9"/>
    </sheetView>
  </sheetViews>
  <sheetFormatPr defaultColWidth="9.00390625" defaultRowHeight="15.75"/>
  <cols>
    <col min="1" max="1" width="4.25390625" style="1" customWidth="1"/>
    <col min="2" max="2" width="10.375" style="1" bestFit="1" customWidth="1"/>
    <col min="3" max="3" width="8.875" style="2" customWidth="1"/>
    <col min="4" max="4" width="11.25390625" style="2" bestFit="1" customWidth="1"/>
    <col min="5" max="5" width="8.875" style="2" bestFit="1" customWidth="1"/>
    <col min="6" max="6" width="7.625" style="2" bestFit="1" customWidth="1"/>
    <col min="7" max="7" width="6.75390625" style="2" bestFit="1" customWidth="1"/>
    <col min="8" max="8" width="6.50390625" style="118" customWidth="1"/>
    <col min="9" max="9" width="4.25390625" style="1" bestFit="1" customWidth="1"/>
    <col min="10" max="10" width="7.625" style="1" customWidth="1"/>
    <col min="11" max="12" width="7.875" style="1" bestFit="1" customWidth="1"/>
    <col min="13" max="13" width="7.25390625" style="1" bestFit="1" customWidth="1"/>
    <col min="14" max="14" width="10.375" style="1" bestFit="1" customWidth="1"/>
    <col min="15" max="15" width="10.50390625" style="1" bestFit="1" customWidth="1"/>
    <col min="16" max="16" width="8.75390625" style="1" customWidth="1"/>
    <col min="17" max="17" width="10.875" style="1" bestFit="1" customWidth="1"/>
    <col min="18" max="16384" width="9.00390625" style="1" customWidth="1"/>
  </cols>
  <sheetData>
    <row r="1" spans="1:16" s="4" customFormat="1" ht="18.75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22" s="4" customFormat="1" ht="18.75">
      <c r="A2" s="147" t="s">
        <v>132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T2" s="100"/>
      <c r="U2" s="100"/>
      <c r="V2" s="101"/>
    </row>
    <row r="3" spans="1:21" s="4" customFormat="1" ht="18.75">
      <c r="A3" s="149" t="s">
        <v>105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T3" s="101"/>
      <c r="U3" s="101"/>
    </row>
    <row r="4" spans="1:21" s="4" customFormat="1" ht="18.7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T4" s="101"/>
      <c r="U4" s="101"/>
    </row>
    <row r="5" spans="1:21" ht="15.75">
      <c r="A5" s="102"/>
      <c r="B5" s="102"/>
      <c r="C5" s="103"/>
      <c r="D5" s="103"/>
      <c r="E5" s="103"/>
      <c r="T5" s="105"/>
      <c r="U5" s="105"/>
    </row>
    <row r="6" spans="1:21" s="120" customFormat="1" ht="21.75" customHeight="1">
      <c r="A6" s="156" t="s">
        <v>79</v>
      </c>
      <c r="B6" s="157" t="s">
        <v>106</v>
      </c>
      <c r="C6" s="156" t="s">
        <v>134</v>
      </c>
      <c r="D6" s="156" t="s">
        <v>107</v>
      </c>
      <c r="E6" s="156"/>
      <c r="F6" s="156" t="s">
        <v>80</v>
      </c>
      <c r="G6" s="156"/>
      <c r="H6" s="156"/>
      <c r="I6" s="156"/>
      <c r="J6" s="156" t="s">
        <v>81</v>
      </c>
      <c r="K6" s="156"/>
      <c r="L6" s="156"/>
      <c r="M6" s="156"/>
      <c r="N6" s="156"/>
      <c r="O6" s="156"/>
      <c r="P6" s="156"/>
      <c r="T6" s="121"/>
      <c r="U6" s="121"/>
    </row>
    <row r="7" spans="1:16" s="120" customFormat="1" ht="85.5">
      <c r="A7" s="156"/>
      <c r="B7" s="158"/>
      <c r="C7" s="156"/>
      <c r="D7" s="98" t="s">
        <v>127</v>
      </c>
      <c r="E7" s="98" t="s">
        <v>128</v>
      </c>
      <c r="F7" s="98" t="s">
        <v>82</v>
      </c>
      <c r="G7" s="98" t="s">
        <v>83</v>
      </c>
      <c r="H7" s="119" t="s">
        <v>84</v>
      </c>
      <c r="I7" s="98" t="s">
        <v>85</v>
      </c>
      <c r="J7" s="98" t="s">
        <v>135</v>
      </c>
      <c r="K7" s="98" t="s">
        <v>97</v>
      </c>
      <c r="L7" s="98" t="s">
        <v>86</v>
      </c>
      <c r="M7" s="98" t="s">
        <v>108</v>
      </c>
      <c r="N7" s="98" t="s">
        <v>109</v>
      </c>
      <c r="O7" s="98" t="s">
        <v>87</v>
      </c>
      <c r="P7" s="98" t="s">
        <v>98</v>
      </c>
    </row>
    <row r="8" spans="1:20" s="126" customFormat="1" ht="30">
      <c r="A8" s="68">
        <v>1</v>
      </c>
      <c r="B8" s="91" t="s">
        <v>110</v>
      </c>
      <c r="C8" s="122">
        <f>'PL I-Doi tuong'!H9</f>
        <v>8414</v>
      </c>
      <c r="D8" s="123">
        <v>2640</v>
      </c>
      <c r="E8" s="123">
        <v>10080</v>
      </c>
      <c r="F8" s="123">
        <f>ROUND((E8+D8)*1.1,-1)</f>
        <v>13990</v>
      </c>
      <c r="G8" s="123">
        <f>F8/100*1.1</f>
        <v>153.89000000000001</v>
      </c>
      <c r="H8" s="124">
        <v>9.5</v>
      </c>
      <c r="I8" s="123">
        <f>H8*3</f>
        <v>28.5</v>
      </c>
      <c r="J8" s="123">
        <f>ROUND(C8*1.1,-1)</f>
        <v>9260</v>
      </c>
      <c r="K8" s="123">
        <f>J8</f>
        <v>9260</v>
      </c>
      <c r="L8" s="123">
        <f>K8</f>
        <v>9260</v>
      </c>
      <c r="M8" s="125">
        <f aca="true" t="shared" si="0" ref="M8:M16">ROUND((C8*1.1)/20,-1)</f>
        <v>460</v>
      </c>
      <c r="N8" s="125">
        <f>L8</f>
        <v>9260</v>
      </c>
      <c r="O8" s="125">
        <f>L8</f>
        <v>9260</v>
      </c>
      <c r="P8" s="125">
        <f>L8</f>
        <v>9260</v>
      </c>
      <c r="R8" s="127"/>
      <c r="S8" s="127"/>
      <c r="T8" s="127"/>
    </row>
    <row r="9" spans="1:18" s="14" customFormat="1" ht="24" customHeight="1">
      <c r="A9" s="10">
        <v>2</v>
      </c>
      <c r="B9" s="15" t="s">
        <v>89</v>
      </c>
      <c r="C9" s="122">
        <f>'PL I-Doi tuong'!H10</f>
        <v>654</v>
      </c>
      <c r="D9" s="123">
        <f>ROUND('PL I-Doi tuong'!F10*0.85,-1)</f>
        <v>560</v>
      </c>
      <c r="E9" s="123">
        <v>0</v>
      </c>
      <c r="F9" s="123">
        <f aca="true" t="shared" si="1" ref="F9:F17">ROUND((E9+D9)*1.1,-1)</f>
        <v>620</v>
      </c>
      <c r="G9" s="123">
        <f aca="true" t="shared" si="2" ref="G9:G17">F9/100*1.1</f>
        <v>6.820000000000001</v>
      </c>
      <c r="H9" s="124">
        <v>0.5</v>
      </c>
      <c r="I9" s="125">
        <f>H9*3</f>
        <v>1.5</v>
      </c>
      <c r="J9" s="123">
        <f aca="true" t="shared" si="3" ref="J9:J17">ROUND(C9*1.1,-1)</f>
        <v>720</v>
      </c>
      <c r="K9" s="123">
        <f aca="true" t="shared" si="4" ref="K9:L17">J9</f>
        <v>720</v>
      </c>
      <c r="L9" s="123">
        <f t="shared" si="4"/>
        <v>720</v>
      </c>
      <c r="M9" s="125">
        <f t="shared" si="0"/>
        <v>40</v>
      </c>
      <c r="N9" s="125">
        <f aca="true" t="shared" si="5" ref="N9:N17">L9</f>
        <v>720</v>
      </c>
      <c r="O9" s="125">
        <f>L9</f>
        <v>720</v>
      </c>
      <c r="P9" s="125">
        <f>L9</f>
        <v>720</v>
      </c>
      <c r="Q9" s="128"/>
      <c r="R9" s="129"/>
    </row>
    <row r="10" spans="1:18" s="14" customFormat="1" ht="24" customHeight="1">
      <c r="A10" s="10">
        <v>3</v>
      </c>
      <c r="B10" s="15" t="s">
        <v>90</v>
      </c>
      <c r="C10" s="122">
        <f>'PL I-Doi tuong'!H11</f>
        <v>432</v>
      </c>
      <c r="D10" s="123">
        <f>ROUND('PL I-Doi tuong'!F11*0.85,-1)</f>
        <v>370</v>
      </c>
      <c r="E10" s="123">
        <v>0</v>
      </c>
      <c r="F10" s="123">
        <f t="shared" si="1"/>
        <v>410</v>
      </c>
      <c r="G10" s="123">
        <f t="shared" si="2"/>
        <v>4.51</v>
      </c>
      <c r="H10" s="124">
        <v>0.5</v>
      </c>
      <c r="I10" s="125">
        <f aca="true" t="shared" si="6" ref="I10:I17">H10*3</f>
        <v>1.5</v>
      </c>
      <c r="J10" s="123">
        <f t="shared" si="3"/>
        <v>480</v>
      </c>
      <c r="K10" s="123">
        <f t="shared" si="4"/>
        <v>480</v>
      </c>
      <c r="L10" s="123">
        <f t="shared" si="4"/>
        <v>480</v>
      </c>
      <c r="M10" s="125">
        <f t="shared" si="0"/>
        <v>20</v>
      </c>
      <c r="N10" s="125">
        <f t="shared" si="5"/>
        <v>480</v>
      </c>
      <c r="O10" s="125">
        <f aca="true" t="shared" si="7" ref="O10:O17">L10</f>
        <v>480</v>
      </c>
      <c r="P10" s="125">
        <f aca="true" t="shared" si="8" ref="P10:P17">L10</f>
        <v>480</v>
      </c>
      <c r="Q10" s="128"/>
      <c r="R10" s="129"/>
    </row>
    <row r="11" spans="1:18" s="14" customFormat="1" ht="24" customHeight="1">
      <c r="A11" s="10">
        <v>4</v>
      </c>
      <c r="B11" s="15" t="s">
        <v>91</v>
      </c>
      <c r="C11" s="122">
        <f>'PL I-Doi tuong'!H12</f>
        <v>227</v>
      </c>
      <c r="D11" s="123">
        <f>ROUND('PL I-Doi tuong'!F12*0.85,-1)</f>
        <v>190</v>
      </c>
      <c r="E11" s="123">
        <v>0</v>
      </c>
      <c r="F11" s="123">
        <f t="shared" si="1"/>
        <v>210</v>
      </c>
      <c r="G11" s="123">
        <f t="shared" si="2"/>
        <v>2.3100000000000005</v>
      </c>
      <c r="H11" s="124">
        <v>0.5</v>
      </c>
      <c r="I11" s="125">
        <f t="shared" si="6"/>
        <v>1.5</v>
      </c>
      <c r="J11" s="123">
        <f t="shared" si="3"/>
        <v>250</v>
      </c>
      <c r="K11" s="123">
        <f t="shared" si="4"/>
        <v>250</v>
      </c>
      <c r="L11" s="123">
        <f t="shared" si="4"/>
        <v>250</v>
      </c>
      <c r="M11" s="125">
        <f t="shared" si="0"/>
        <v>10</v>
      </c>
      <c r="N11" s="125">
        <f t="shared" si="5"/>
        <v>250</v>
      </c>
      <c r="O11" s="125">
        <f t="shared" si="7"/>
        <v>250</v>
      </c>
      <c r="P11" s="125">
        <f t="shared" si="8"/>
        <v>250</v>
      </c>
      <c r="Q11" s="128"/>
      <c r="R11" s="129"/>
    </row>
    <row r="12" spans="1:18" s="14" customFormat="1" ht="24" customHeight="1">
      <c r="A12" s="10">
        <v>5</v>
      </c>
      <c r="B12" s="15" t="s">
        <v>88</v>
      </c>
      <c r="C12" s="122">
        <f>'PL I-Doi tuong'!H13</f>
        <v>978</v>
      </c>
      <c r="D12" s="123">
        <f>ROUND('PL I-Doi tuong'!F13*0.85,-1)</f>
        <v>830</v>
      </c>
      <c r="E12" s="123">
        <v>0</v>
      </c>
      <c r="F12" s="123">
        <f t="shared" si="1"/>
        <v>910</v>
      </c>
      <c r="G12" s="123">
        <f t="shared" si="2"/>
        <v>10.01</v>
      </c>
      <c r="H12" s="124">
        <v>1</v>
      </c>
      <c r="I12" s="125">
        <f t="shared" si="6"/>
        <v>3</v>
      </c>
      <c r="J12" s="123">
        <f t="shared" si="3"/>
        <v>1080</v>
      </c>
      <c r="K12" s="123">
        <f t="shared" si="4"/>
        <v>1080</v>
      </c>
      <c r="L12" s="123">
        <f t="shared" si="4"/>
        <v>1080</v>
      </c>
      <c r="M12" s="125">
        <f t="shared" si="0"/>
        <v>50</v>
      </c>
      <c r="N12" s="125">
        <f t="shared" si="5"/>
        <v>1080</v>
      </c>
      <c r="O12" s="125">
        <f t="shared" si="7"/>
        <v>1080</v>
      </c>
      <c r="P12" s="125">
        <f t="shared" si="8"/>
        <v>1080</v>
      </c>
      <c r="Q12" s="128"/>
      <c r="R12" s="129"/>
    </row>
    <row r="13" spans="1:22" s="126" customFormat="1" ht="24" customHeight="1">
      <c r="A13" s="10">
        <v>6</v>
      </c>
      <c r="B13" s="69" t="s">
        <v>92</v>
      </c>
      <c r="C13" s="122">
        <f>'PL I-Doi tuong'!H14</f>
        <v>528</v>
      </c>
      <c r="D13" s="123">
        <f>ROUND('PL I-Doi tuong'!F14*0.85,-1)</f>
        <v>450</v>
      </c>
      <c r="E13" s="123">
        <v>0</v>
      </c>
      <c r="F13" s="123">
        <f t="shared" si="1"/>
        <v>500</v>
      </c>
      <c r="G13" s="123">
        <f t="shared" si="2"/>
        <v>5.5</v>
      </c>
      <c r="H13" s="124">
        <v>0.5</v>
      </c>
      <c r="I13" s="125">
        <f t="shared" si="6"/>
        <v>1.5</v>
      </c>
      <c r="J13" s="123">
        <f t="shared" si="3"/>
        <v>580</v>
      </c>
      <c r="K13" s="123">
        <f t="shared" si="4"/>
        <v>580</v>
      </c>
      <c r="L13" s="123">
        <f t="shared" si="4"/>
        <v>580</v>
      </c>
      <c r="M13" s="125">
        <f t="shared" si="0"/>
        <v>30</v>
      </c>
      <c r="N13" s="125">
        <f t="shared" si="5"/>
        <v>580</v>
      </c>
      <c r="O13" s="125">
        <f t="shared" si="7"/>
        <v>580</v>
      </c>
      <c r="P13" s="125">
        <f t="shared" si="8"/>
        <v>580</v>
      </c>
      <c r="Q13" s="128"/>
      <c r="R13" s="129"/>
      <c r="S13" s="14"/>
      <c r="T13" s="14"/>
      <c r="V13" s="14"/>
    </row>
    <row r="14" spans="1:18" s="14" customFormat="1" ht="24" customHeight="1">
      <c r="A14" s="10">
        <v>7</v>
      </c>
      <c r="B14" s="15" t="s">
        <v>94</v>
      </c>
      <c r="C14" s="122">
        <f>'PL I-Doi tuong'!H15</f>
        <v>477</v>
      </c>
      <c r="D14" s="123">
        <f>ROUND('PL I-Doi tuong'!F15*0.85,-1)</f>
        <v>410</v>
      </c>
      <c r="E14" s="123">
        <v>0</v>
      </c>
      <c r="F14" s="123">
        <f t="shared" si="1"/>
        <v>450</v>
      </c>
      <c r="G14" s="123">
        <f t="shared" si="2"/>
        <v>4.95</v>
      </c>
      <c r="H14" s="124">
        <v>0.5</v>
      </c>
      <c r="I14" s="125">
        <f t="shared" si="6"/>
        <v>1.5</v>
      </c>
      <c r="J14" s="123">
        <f t="shared" si="3"/>
        <v>520</v>
      </c>
      <c r="K14" s="123">
        <f t="shared" si="4"/>
        <v>520</v>
      </c>
      <c r="L14" s="123">
        <f t="shared" si="4"/>
        <v>520</v>
      </c>
      <c r="M14" s="125">
        <f t="shared" si="0"/>
        <v>30</v>
      </c>
      <c r="N14" s="125">
        <f t="shared" si="5"/>
        <v>520</v>
      </c>
      <c r="O14" s="125">
        <f t="shared" si="7"/>
        <v>520</v>
      </c>
      <c r="P14" s="125">
        <f t="shared" si="8"/>
        <v>520</v>
      </c>
      <c r="Q14" s="128"/>
      <c r="R14" s="129"/>
    </row>
    <row r="15" spans="1:18" s="14" customFormat="1" ht="24" customHeight="1">
      <c r="A15" s="10">
        <v>8</v>
      </c>
      <c r="B15" s="15" t="s">
        <v>93</v>
      </c>
      <c r="C15" s="122">
        <f>'PL I-Doi tuong'!H16</f>
        <v>124</v>
      </c>
      <c r="D15" s="123">
        <f>ROUND('PL I-Doi tuong'!F16*0.85,-1)</f>
        <v>110</v>
      </c>
      <c r="E15" s="123">
        <v>0</v>
      </c>
      <c r="F15" s="123">
        <f t="shared" si="1"/>
        <v>120</v>
      </c>
      <c r="G15" s="123">
        <f t="shared" si="2"/>
        <v>1.32</v>
      </c>
      <c r="H15" s="124">
        <v>0.5</v>
      </c>
      <c r="I15" s="125">
        <f>H15*3</f>
        <v>1.5</v>
      </c>
      <c r="J15" s="123">
        <f t="shared" si="3"/>
        <v>140</v>
      </c>
      <c r="K15" s="123">
        <f t="shared" si="4"/>
        <v>140</v>
      </c>
      <c r="L15" s="123">
        <f t="shared" si="4"/>
        <v>140</v>
      </c>
      <c r="M15" s="125">
        <f t="shared" si="0"/>
        <v>10</v>
      </c>
      <c r="N15" s="125">
        <f t="shared" si="5"/>
        <v>140</v>
      </c>
      <c r="O15" s="125">
        <f t="shared" si="7"/>
        <v>140</v>
      </c>
      <c r="P15" s="125">
        <f t="shared" si="8"/>
        <v>140</v>
      </c>
      <c r="Q15" s="128"/>
      <c r="R15" s="129"/>
    </row>
    <row r="16" spans="1:18" s="14" customFormat="1" ht="24" customHeight="1">
      <c r="A16" s="10">
        <v>9</v>
      </c>
      <c r="B16" s="15" t="s">
        <v>95</v>
      </c>
      <c r="C16" s="122">
        <f>'PL I-Doi tuong'!H17</f>
        <v>319</v>
      </c>
      <c r="D16" s="123">
        <f>ROUND('PL I-Doi tuong'!F17*0.85,-1)</f>
        <v>270</v>
      </c>
      <c r="E16" s="123">
        <v>0</v>
      </c>
      <c r="F16" s="123">
        <f t="shared" si="1"/>
        <v>300</v>
      </c>
      <c r="G16" s="123">
        <f t="shared" si="2"/>
        <v>3.3000000000000003</v>
      </c>
      <c r="H16" s="124">
        <v>0.5</v>
      </c>
      <c r="I16" s="125">
        <f t="shared" si="6"/>
        <v>1.5</v>
      </c>
      <c r="J16" s="123">
        <f t="shared" si="3"/>
        <v>350</v>
      </c>
      <c r="K16" s="123">
        <f t="shared" si="4"/>
        <v>350</v>
      </c>
      <c r="L16" s="123">
        <f t="shared" si="4"/>
        <v>350</v>
      </c>
      <c r="M16" s="125">
        <f t="shared" si="0"/>
        <v>20</v>
      </c>
      <c r="N16" s="125">
        <f t="shared" si="5"/>
        <v>350</v>
      </c>
      <c r="O16" s="125">
        <f t="shared" si="7"/>
        <v>350</v>
      </c>
      <c r="P16" s="125">
        <f t="shared" si="8"/>
        <v>350</v>
      </c>
      <c r="Q16" s="128"/>
      <c r="R16" s="129"/>
    </row>
    <row r="17" spans="1:18" s="14" customFormat="1" ht="24" customHeight="1">
      <c r="A17" s="10">
        <v>10</v>
      </c>
      <c r="B17" s="15" t="s">
        <v>96</v>
      </c>
      <c r="C17" s="122">
        <f>'PL I-Doi tuong'!H18</f>
        <v>82</v>
      </c>
      <c r="D17" s="123">
        <f>ROUND('PL I-Doi tuong'!F18*0.85,-1)</f>
        <v>70</v>
      </c>
      <c r="E17" s="123">
        <v>0</v>
      </c>
      <c r="F17" s="123">
        <f t="shared" si="1"/>
        <v>80</v>
      </c>
      <c r="G17" s="123">
        <f t="shared" si="2"/>
        <v>0.8800000000000001</v>
      </c>
      <c r="H17" s="124">
        <v>0.5</v>
      </c>
      <c r="I17" s="125">
        <f t="shared" si="6"/>
        <v>1.5</v>
      </c>
      <c r="J17" s="123">
        <f t="shared" si="3"/>
        <v>90</v>
      </c>
      <c r="K17" s="123">
        <f t="shared" si="4"/>
        <v>90</v>
      </c>
      <c r="L17" s="123">
        <f t="shared" si="4"/>
        <v>90</v>
      </c>
      <c r="M17" s="125">
        <f>ROUND((C17*1.1)/20,1)</f>
        <v>4.5</v>
      </c>
      <c r="N17" s="125">
        <f t="shared" si="5"/>
        <v>90</v>
      </c>
      <c r="O17" s="125">
        <f t="shared" si="7"/>
        <v>90</v>
      </c>
      <c r="P17" s="125">
        <f t="shared" si="8"/>
        <v>90</v>
      </c>
      <c r="Q17" s="128"/>
      <c r="R17" s="129"/>
    </row>
    <row r="18" spans="1:20" s="133" customFormat="1" ht="24" customHeight="1">
      <c r="A18" s="153" t="s">
        <v>111</v>
      </c>
      <c r="B18" s="154"/>
      <c r="C18" s="130">
        <f>SUM(C8:C17)</f>
        <v>12235</v>
      </c>
      <c r="D18" s="130">
        <f>SUM(D8:D17)</f>
        <v>5900</v>
      </c>
      <c r="E18" s="130">
        <f>SUM(E8:E17)</f>
        <v>10080</v>
      </c>
      <c r="F18" s="130">
        <f aca="true" t="shared" si="9" ref="F18:P18">SUM(F8:F17)</f>
        <v>17590</v>
      </c>
      <c r="G18" s="130">
        <f t="shared" si="9"/>
        <v>193.48999999999998</v>
      </c>
      <c r="H18" s="131">
        <f t="shared" si="9"/>
        <v>14.5</v>
      </c>
      <c r="I18" s="130">
        <f t="shared" si="9"/>
        <v>43.5</v>
      </c>
      <c r="J18" s="130">
        <f t="shared" si="9"/>
        <v>13470</v>
      </c>
      <c r="K18" s="130">
        <f t="shared" si="9"/>
        <v>13470</v>
      </c>
      <c r="L18" s="130">
        <f t="shared" si="9"/>
        <v>13470</v>
      </c>
      <c r="M18" s="130">
        <f t="shared" si="9"/>
        <v>674.5</v>
      </c>
      <c r="N18" s="130">
        <f t="shared" si="9"/>
        <v>13470</v>
      </c>
      <c r="O18" s="130">
        <f t="shared" si="9"/>
        <v>13470</v>
      </c>
      <c r="P18" s="130">
        <f t="shared" si="9"/>
        <v>13470</v>
      </c>
      <c r="Q18" s="132"/>
      <c r="T18" s="14"/>
    </row>
    <row r="19" spans="1:17" ht="27.75" customHeight="1">
      <c r="A19" s="45" t="s">
        <v>133</v>
      </c>
      <c r="D19" s="108"/>
      <c r="G19" s="106"/>
      <c r="I19" s="107"/>
      <c r="J19" s="104"/>
      <c r="K19" s="104"/>
      <c r="L19" s="104"/>
      <c r="Q19" s="107"/>
    </row>
    <row r="20" spans="1:16" ht="15.75">
      <c r="A20" s="155" t="s">
        <v>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7:12" ht="15.75">
      <c r="G21" s="106"/>
      <c r="I21" s="107"/>
      <c r="J21" s="104"/>
      <c r="K21" s="104"/>
      <c r="L21" s="104"/>
    </row>
    <row r="22" spans="7:12" ht="15.75">
      <c r="G22" s="106"/>
      <c r="I22" s="107"/>
      <c r="J22" s="104"/>
      <c r="K22" s="104"/>
      <c r="L22" s="104"/>
    </row>
    <row r="23" ht="15.75">
      <c r="I23" s="107"/>
    </row>
    <row r="24" ht="15.75">
      <c r="I24" s="107"/>
    </row>
  </sheetData>
  <sheetProtection/>
  <mergeCells count="12">
    <mergeCell ref="F6:I6"/>
    <mergeCell ref="J6:P6"/>
    <mergeCell ref="A18:B18"/>
    <mergeCell ref="A20:P20"/>
    <mergeCell ref="A1:P1"/>
    <mergeCell ref="A2:P2"/>
    <mergeCell ref="A3:P3"/>
    <mergeCell ref="A4:P4"/>
    <mergeCell ref="A6:A7"/>
    <mergeCell ref="B6:B7"/>
    <mergeCell ref="C6:C7"/>
    <mergeCell ref="D6:E6"/>
  </mergeCells>
  <printOptions/>
  <pageMargins left="0.18" right="0.14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48"/>
  <sheetViews>
    <sheetView tabSelected="1" zoomScale="80" zoomScaleNormal="80" zoomScalePageLayoutView="0" workbookViewId="0" topLeftCell="A1">
      <selection activeCell="A3" sqref="A3:Q3"/>
    </sheetView>
  </sheetViews>
  <sheetFormatPr defaultColWidth="9.00390625" defaultRowHeight="15.75"/>
  <cols>
    <col min="1" max="1" width="4.875" style="28" customWidth="1"/>
    <col min="2" max="2" width="26.50390625" style="4" customWidth="1"/>
    <col min="3" max="3" width="7.875" style="28" customWidth="1"/>
    <col min="4" max="4" width="8.25390625" style="28" customWidth="1"/>
    <col min="5" max="5" width="6.25390625" style="7" bestFit="1" customWidth="1"/>
    <col min="6" max="6" width="9.75390625" style="7" customWidth="1"/>
    <col min="7" max="8" width="8.875" style="4" customWidth="1"/>
    <col min="9" max="9" width="9.625" style="4" customWidth="1"/>
    <col min="10" max="10" width="9.875" style="4" customWidth="1"/>
    <col min="11" max="11" width="9.00390625" style="4" customWidth="1"/>
    <col min="12" max="12" width="10.125" style="4" bestFit="1" customWidth="1"/>
    <col min="13" max="13" width="9.75390625" style="4" customWidth="1"/>
    <col min="14" max="15" width="8.625" style="4" customWidth="1"/>
    <col min="16" max="16" width="8.875" style="4" customWidth="1"/>
    <col min="17" max="17" width="8.75390625" style="4" bestFit="1" customWidth="1"/>
    <col min="18" max="18" width="16.25390625" style="65" customWidth="1"/>
    <col min="19" max="19" width="10.00390625" style="36" bestFit="1" customWidth="1"/>
    <col min="20" max="16384" width="9.00390625" style="4" customWidth="1"/>
  </cols>
  <sheetData>
    <row r="1" spans="1:19" s="1" customFormat="1" ht="16.5">
      <c r="A1" s="159" t="s">
        <v>141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76"/>
      <c r="S1" s="35"/>
    </row>
    <row r="2" spans="1:19" s="1" customFormat="1" ht="16.5">
      <c r="A2" s="160" t="s">
        <v>139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77"/>
      <c r="S2" s="35"/>
    </row>
    <row r="3" spans="1:19" s="1" customFormat="1" ht="16.5">
      <c r="A3" s="162" t="s">
        <v>142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78"/>
      <c r="S3" s="35"/>
    </row>
    <row r="4" spans="1:18" ht="13.5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79"/>
    </row>
    <row r="5" spans="1:19" ht="16.5" customHeight="1">
      <c r="A5" s="5"/>
      <c r="B5" s="3"/>
      <c r="C5" s="5"/>
      <c r="D5" s="5"/>
      <c r="E5" s="6"/>
      <c r="I5" s="8"/>
      <c r="M5" s="8"/>
      <c r="N5" s="8"/>
      <c r="O5" s="165" t="s">
        <v>39</v>
      </c>
      <c r="P5" s="165"/>
      <c r="Q5" s="165"/>
      <c r="R5" s="165"/>
      <c r="S5" s="37"/>
    </row>
    <row r="6" spans="1:20" s="2" customFormat="1" ht="15.75" customHeight="1">
      <c r="A6" s="164" t="s">
        <v>7</v>
      </c>
      <c r="B6" s="164" t="s">
        <v>13</v>
      </c>
      <c r="C6" s="168" t="s">
        <v>14</v>
      </c>
      <c r="D6" s="168" t="s">
        <v>15</v>
      </c>
      <c r="E6" s="156" t="s">
        <v>16</v>
      </c>
      <c r="F6" s="156" t="s">
        <v>0</v>
      </c>
      <c r="G6" s="169" t="s">
        <v>40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6" t="s">
        <v>48</v>
      </c>
      <c r="S6" s="36"/>
      <c r="T6" s="4"/>
    </row>
    <row r="7" spans="1:20" s="2" customFormat="1" ht="42.75">
      <c r="A7" s="164"/>
      <c r="B7" s="164"/>
      <c r="C7" s="168"/>
      <c r="D7" s="168"/>
      <c r="E7" s="156"/>
      <c r="F7" s="156"/>
      <c r="G7" s="29" t="s">
        <v>17</v>
      </c>
      <c r="H7" s="29" t="s">
        <v>73</v>
      </c>
      <c r="I7" s="29" t="s">
        <v>18</v>
      </c>
      <c r="J7" s="29" t="s">
        <v>19</v>
      </c>
      <c r="K7" s="29" t="s">
        <v>35</v>
      </c>
      <c r="L7" s="29" t="s">
        <v>20</v>
      </c>
      <c r="M7" s="29" t="s">
        <v>36</v>
      </c>
      <c r="N7" s="29" t="s">
        <v>64</v>
      </c>
      <c r="O7" s="29" t="s">
        <v>37</v>
      </c>
      <c r="P7" s="29" t="s">
        <v>21</v>
      </c>
      <c r="Q7" s="29" t="s">
        <v>38</v>
      </c>
      <c r="R7" s="166"/>
      <c r="S7" s="36"/>
      <c r="T7" s="4"/>
    </row>
    <row r="8" spans="1:20" s="59" customFormat="1" ht="18.75">
      <c r="A8" s="54" t="s">
        <v>22</v>
      </c>
      <c r="B8" s="54" t="s">
        <v>23</v>
      </c>
      <c r="C8" s="55" t="s">
        <v>41</v>
      </c>
      <c r="D8" s="56">
        <v>1</v>
      </c>
      <c r="E8" s="56">
        <v>2</v>
      </c>
      <c r="F8" s="56" t="s">
        <v>24</v>
      </c>
      <c r="G8" s="57">
        <v>4</v>
      </c>
      <c r="H8" s="57">
        <v>5</v>
      </c>
      <c r="I8" s="57">
        <v>6</v>
      </c>
      <c r="J8" s="57">
        <v>7</v>
      </c>
      <c r="K8" s="57">
        <v>8</v>
      </c>
      <c r="L8" s="57">
        <v>9</v>
      </c>
      <c r="M8" s="57">
        <v>10</v>
      </c>
      <c r="N8" s="57">
        <v>11</v>
      </c>
      <c r="O8" s="57">
        <v>12</v>
      </c>
      <c r="P8" s="57">
        <v>13</v>
      </c>
      <c r="Q8" s="57">
        <v>14</v>
      </c>
      <c r="R8" s="80"/>
      <c r="S8" s="58"/>
      <c r="T8" s="43"/>
    </row>
    <row r="9" spans="1:20" s="9" customFormat="1" ht="18.75">
      <c r="A9" s="41" t="s">
        <v>2</v>
      </c>
      <c r="B9" s="63" t="s">
        <v>25</v>
      </c>
      <c r="C9" s="63"/>
      <c r="D9" s="41"/>
      <c r="E9" s="42"/>
      <c r="F9" s="42">
        <f aca="true" t="shared" si="0" ref="F9:Q9">SUM(F10:F14)</f>
        <v>5887</v>
      </c>
      <c r="G9" s="42">
        <f t="shared" si="0"/>
        <v>0</v>
      </c>
      <c r="H9" s="42">
        <f t="shared" si="0"/>
        <v>3857</v>
      </c>
      <c r="I9" s="42">
        <f t="shared" si="0"/>
        <v>203</v>
      </c>
      <c r="J9" s="42">
        <f t="shared" si="0"/>
        <v>203</v>
      </c>
      <c r="K9" s="42">
        <f t="shared" si="0"/>
        <v>203</v>
      </c>
      <c r="L9" s="42">
        <f t="shared" si="0"/>
        <v>406</v>
      </c>
      <c r="M9" s="42">
        <f t="shared" si="0"/>
        <v>203</v>
      </c>
      <c r="N9" s="42">
        <f t="shared" si="0"/>
        <v>203</v>
      </c>
      <c r="O9" s="42">
        <f t="shared" si="0"/>
        <v>203</v>
      </c>
      <c r="P9" s="42">
        <f t="shared" si="0"/>
        <v>203</v>
      </c>
      <c r="Q9" s="42">
        <f t="shared" si="0"/>
        <v>203</v>
      </c>
      <c r="R9" s="81"/>
      <c r="S9" s="38"/>
      <c r="T9" s="4"/>
    </row>
    <row r="10" spans="1:20" s="14" customFormat="1" ht="21" customHeight="1">
      <c r="A10" s="10">
        <v>1</v>
      </c>
      <c r="B10" s="11" t="s">
        <v>42</v>
      </c>
      <c r="C10" s="12" t="s">
        <v>10</v>
      </c>
      <c r="D10" s="40">
        <f>'PL XII-VX,VT,BM'!D18+'PL XII-VX,VT,BM'!E18</f>
        <v>15980</v>
      </c>
      <c r="E10" s="40">
        <v>0</v>
      </c>
      <c r="F10" s="13">
        <f>D10*E10</f>
        <v>0</v>
      </c>
      <c r="G10" s="12">
        <v>0</v>
      </c>
      <c r="H10" s="75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70" t="s">
        <v>50</v>
      </c>
      <c r="S10" s="38"/>
      <c r="T10" s="4"/>
    </row>
    <row r="11" spans="1:20" s="14" customFormat="1" ht="21" customHeight="1">
      <c r="A11" s="10">
        <v>2</v>
      </c>
      <c r="B11" s="11" t="s">
        <v>74</v>
      </c>
      <c r="C11" s="12" t="s">
        <v>8</v>
      </c>
      <c r="D11" s="12">
        <f>'PL XII-VX,VT,BM'!F18</f>
        <v>17590</v>
      </c>
      <c r="E11" s="40">
        <v>0</v>
      </c>
      <c r="F11" s="13">
        <f>D11*E11</f>
        <v>0</v>
      </c>
      <c r="G11" s="75">
        <v>0</v>
      </c>
      <c r="H11" s="75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71"/>
      <c r="S11" s="38"/>
      <c r="T11" s="34"/>
    </row>
    <row r="12" spans="1:20" s="14" customFormat="1" ht="21" customHeight="1">
      <c r="A12" s="10">
        <v>3</v>
      </c>
      <c r="B12" s="11" t="s">
        <v>26</v>
      </c>
      <c r="C12" s="12" t="s">
        <v>8</v>
      </c>
      <c r="D12" s="12">
        <f>'PL XII-VX,VT,BM'!G18</f>
        <v>193.48999999999998</v>
      </c>
      <c r="E12" s="40">
        <v>0</v>
      </c>
      <c r="F12" s="13">
        <f>D12*E12</f>
        <v>0</v>
      </c>
      <c r="G12" s="75">
        <v>0</v>
      </c>
      <c r="H12" s="75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71"/>
      <c r="S12" s="38"/>
      <c r="T12" s="34"/>
    </row>
    <row r="13" spans="1:20" s="14" customFormat="1" ht="18.75">
      <c r="A13" s="10">
        <v>4</v>
      </c>
      <c r="B13" s="11" t="s">
        <v>27</v>
      </c>
      <c r="C13" s="12" t="s">
        <v>11</v>
      </c>
      <c r="D13" s="97">
        <f>'PL XII-VX,VT,BM'!H18</f>
        <v>14.5</v>
      </c>
      <c r="E13" s="12">
        <v>250</v>
      </c>
      <c r="F13" s="13">
        <f>D13*E13</f>
        <v>3625</v>
      </c>
      <c r="G13" s="12">
        <v>0</v>
      </c>
      <c r="H13" s="75">
        <f>$E$13*'PL XII-VX,VT,BM'!$H$8</f>
        <v>2375</v>
      </c>
      <c r="I13" s="75">
        <f>$E$13*'PL XII-VX,VT,BM'!$H$9</f>
        <v>125</v>
      </c>
      <c r="J13" s="75">
        <f>$E$13*'PL XII-VX,VT,BM'!$H$10</f>
        <v>125</v>
      </c>
      <c r="K13" s="75">
        <f>$E$13*'PL XII-VX,VT,BM'!$H$11</f>
        <v>125</v>
      </c>
      <c r="L13" s="75">
        <f>$E$13*'PL XII-VX,VT,BM'!$H$12</f>
        <v>250</v>
      </c>
      <c r="M13" s="75">
        <f>$E$13*'PL XII-VX,VT,BM'!$H$13</f>
        <v>125</v>
      </c>
      <c r="N13" s="75">
        <f>$E$13*'PL XII-VX,VT,BM'!$H$14</f>
        <v>125</v>
      </c>
      <c r="O13" s="75">
        <f>$E$13*'PL XII-VX,VT,BM'!$H$15</f>
        <v>125</v>
      </c>
      <c r="P13" s="75">
        <f>$E$13*'PL XII-VX,VT,BM'!$H$16</f>
        <v>125</v>
      </c>
      <c r="Q13" s="75">
        <f>$E$13*'PL XII-VX,VT,BM'!$H$17</f>
        <v>125</v>
      </c>
      <c r="R13" s="170" t="s">
        <v>49</v>
      </c>
      <c r="S13" s="38"/>
      <c r="T13" s="4"/>
    </row>
    <row r="14" spans="1:20" s="14" customFormat="1" ht="18.75">
      <c r="A14" s="10">
        <v>5</v>
      </c>
      <c r="B14" s="11" t="s">
        <v>28</v>
      </c>
      <c r="C14" s="12" t="s">
        <v>29</v>
      </c>
      <c r="D14" s="75">
        <f>'PL XII-VX,VT,BM'!I18</f>
        <v>43.5</v>
      </c>
      <c r="E14" s="12">
        <v>52</v>
      </c>
      <c r="F14" s="13">
        <f>D14*E14</f>
        <v>2262</v>
      </c>
      <c r="G14" s="12">
        <v>0</v>
      </c>
      <c r="H14" s="75">
        <f>$E$14*'PL XII-VX,VT,BM'!$I$8</f>
        <v>1482</v>
      </c>
      <c r="I14" s="75">
        <f>$E$14*'PL XII-VX,VT,BM'!$I$9</f>
        <v>78</v>
      </c>
      <c r="J14" s="75">
        <f>$E$14*'PL XII-VX,VT,BM'!$I$10</f>
        <v>78</v>
      </c>
      <c r="K14" s="75">
        <f>$E$14*'PL XII-VX,VT,BM'!$I$11</f>
        <v>78</v>
      </c>
      <c r="L14" s="75">
        <f>$E$14*'PL XII-VX,VT,BM'!$I$12</f>
        <v>156</v>
      </c>
      <c r="M14" s="75">
        <f>$E$14*'PL XII-VX,VT,BM'!$I$13</f>
        <v>78</v>
      </c>
      <c r="N14" s="75">
        <f>$E$14*'PL XII-VX,VT,BM'!$I$14</f>
        <v>78</v>
      </c>
      <c r="O14" s="75">
        <f>$E$14*'PL XII-VX,VT,BM'!$I$15</f>
        <v>78</v>
      </c>
      <c r="P14" s="75">
        <f>$E$14*'PL XII-VX,VT,BM'!$I$16</f>
        <v>78</v>
      </c>
      <c r="Q14" s="75">
        <f>$E$14*'PL XII-VX,VT,BM'!$I$17</f>
        <v>78</v>
      </c>
      <c r="R14" s="170"/>
      <c r="S14" s="38"/>
      <c r="T14" s="4"/>
    </row>
    <row r="15" spans="1:20" s="9" customFormat="1" ht="18.75">
      <c r="A15" s="41" t="s">
        <v>3</v>
      </c>
      <c r="B15" s="63" t="s">
        <v>56</v>
      </c>
      <c r="C15" s="63"/>
      <c r="D15" s="41"/>
      <c r="E15" s="42"/>
      <c r="F15" s="42">
        <f>F16+F17</f>
        <v>6688.8</v>
      </c>
      <c r="G15" s="42">
        <f aca="true" t="shared" si="1" ref="G15:Q15">G16+G17</f>
        <v>0</v>
      </c>
      <c r="H15" s="42">
        <f t="shared" si="1"/>
        <v>0</v>
      </c>
      <c r="I15" s="42">
        <f t="shared" si="1"/>
        <v>444</v>
      </c>
      <c r="J15" s="42">
        <f t="shared" si="1"/>
        <v>588</v>
      </c>
      <c r="K15" s="42">
        <f t="shared" si="1"/>
        <v>804</v>
      </c>
      <c r="L15" s="42">
        <f t="shared" si="1"/>
        <v>760.8</v>
      </c>
      <c r="M15" s="42">
        <f t="shared" si="1"/>
        <v>1092</v>
      </c>
      <c r="N15" s="42">
        <f t="shared" si="1"/>
        <v>688.8</v>
      </c>
      <c r="O15" s="42">
        <f t="shared" si="1"/>
        <v>508.79999999999995</v>
      </c>
      <c r="P15" s="42">
        <f t="shared" si="1"/>
        <v>501.6</v>
      </c>
      <c r="Q15" s="42">
        <f t="shared" si="1"/>
        <v>1300.8</v>
      </c>
      <c r="R15" s="81"/>
      <c r="S15" s="38"/>
      <c r="T15" s="4"/>
    </row>
    <row r="16" spans="1:20" s="32" customFormat="1" ht="67.5" customHeight="1">
      <c r="A16" s="10">
        <v>1</v>
      </c>
      <c r="B16" s="15" t="s">
        <v>77</v>
      </c>
      <c r="C16" s="10" t="s">
        <v>44</v>
      </c>
      <c r="D16" s="12">
        <f>9*2</f>
        <v>18</v>
      </c>
      <c r="E16" s="12">
        <v>150</v>
      </c>
      <c r="F16" s="12">
        <f>D16*E16</f>
        <v>2700</v>
      </c>
      <c r="G16" s="16">
        <v>0</v>
      </c>
      <c r="H16" s="16">
        <v>0</v>
      </c>
      <c r="I16" s="13">
        <f aca="true" t="shared" si="2" ref="I16:Q16">$E$16*2</f>
        <v>300</v>
      </c>
      <c r="J16" s="13">
        <f t="shared" si="2"/>
        <v>300</v>
      </c>
      <c r="K16" s="13">
        <f t="shared" si="2"/>
        <v>300</v>
      </c>
      <c r="L16" s="13">
        <f t="shared" si="2"/>
        <v>300</v>
      </c>
      <c r="M16" s="13">
        <f t="shared" si="2"/>
        <v>300</v>
      </c>
      <c r="N16" s="13">
        <f t="shared" si="2"/>
        <v>300</v>
      </c>
      <c r="O16" s="13">
        <f t="shared" si="2"/>
        <v>300</v>
      </c>
      <c r="P16" s="13">
        <f t="shared" si="2"/>
        <v>300</v>
      </c>
      <c r="Q16" s="13">
        <f t="shared" si="2"/>
        <v>300</v>
      </c>
      <c r="R16" s="170" t="s">
        <v>71</v>
      </c>
      <c r="S16" s="38"/>
      <c r="T16" s="31"/>
    </row>
    <row r="17" spans="1:20" s="72" customFormat="1" ht="40.5" customHeight="1">
      <c r="A17" s="68">
        <v>2</v>
      </c>
      <c r="B17" s="69" t="s">
        <v>78</v>
      </c>
      <c r="C17" s="68" t="s">
        <v>12</v>
      </c>
      <c r="D17" s="40">
        <f>(110+29+54+40+70+64+28+20+139)*2*0.18</f>
        <v>199.44</v>
      </c>
      <c r="E17" s="40">
        <v>20</v>
      </c>
      <c r="F17" s="40">
        <f>D17*E17</f>
        <v>3988.8</v>
      </c>
      <c r="G17" s="70">
        <v>0</v>
      </c>
      <c r="H17" s="70">
        <v>0</v>
      </c>
      <c r="I17" s="40">
        <f>E17*20*2*0.18</f>
        <v>144</v>
      </c>
      <c r="J17" s="40">
        <f>E17*40*2*0.18</f>
        <v>288</v>
      </c>
      <c r="K17" s="40">
        <f>E17*70*2*0.18</f>
        <v>504</v>
      </c>
      <c r="L17" s="40">
        <f>E17*64*2*0.18</f>
        <v>460.79999999999995</v>
      </c>
      <c r="M17" s="40">
        <f>E17*110*2*0.18</f>
        <v>792</v>
      </c>
      <c r="N17" s="40">
        <f>E17*54*2*0.18</f>
        <v>388.8</v>
      </c>
      <c r="O17" s="40">
        <f>E17*29*2*0.18</f>
        <v>208.79999999999998</v>
      </c>
      <c r="P17" s="40">
        <f>E17*28*2*0.18</f>
        <v>201.6</v>
      </c>
      <c r="Q17" s="40">
        <f>E17*139*2*0.18</f>
        <v>1000.8</v>
      </c>
      <c r="R17" s="170"/>
      <c r="S17" s="38"/>
      <c r="T17" s="71"/>
    </row>
    <row r="18" spans="1:20" s="9" customFormat="1" ht="18.75">
      <c r="A18" s="41" t="s">
        <v>4</v>
      </c>
      <c r="B18" s="63" t="s">
        <v>30</v>
      </c>
      <c r="C18" s="63"/>
      <c r="D18" s="41"/>
      <c r="E18" s="42"/>
      <c r="F18" s="42">
        <f aca="true" t="shared" si="3" ref="F18:Q18">SUM(F19:F19)</f>
        <v>119850</v>
      </c>
      <c r="G18" s="42">
        <f t="shared" si="3"/>
        <v>0</v>
      </c>
      <c r="H18" s="42">
        <f t="shared" si="3"/>
        <v>95400</v>
      </c>
      <c r="I18" s="42">
        <f t="shared" si="3"/>
        <v>4200</v>
      </c>
      <c r="J18" s="42">
        <f t="shared" si="3"/>
        <v>2775</v>
      </c>
      <c r="K18" s="42">
        <f t="shared" si="3"/>
        <v>1425</v>
      </c>
      <c r="L18" s="42">
        <f t="shared" si="3"/>
        <v>6225</v>
      </c>
      <c r="M18" s="42">
        <f t="shared" si="3"/>
        <v>3375</v>
      </c>
      <c r="N18" s="42">
        <f t="shared" si="3"/>
        <v>3075</v>
      </c>
      <c r="O18" s="42">
        <f t="shared" si="3"/>
        <v>825</v>
      </c>
      <c r="P18" s="42">
        <f t="shared" si="3"/>
        <v>2025</v>
      </c>
      <c r="Q18" s="42">
        <f t="shared" si="3"/>
        <v>525</v>
      </c>
      <c r="R18" s="81"/>
      <c r="S18" s="38"/>
      <c r="T18" s="4"/>
    </row>
    <row r="19" spans="1:21" s="32" customFormat="1" ht="66.75" customHeight="1">
      <c r="A19" s="17"/>
      <c r="B19" s="60" t="s">
        <v>99</v>
      </c>
      <c r="C19" s="10" t="s">
        <v>31</v>
      </c>
      <c r="D19" s="18">
        <f>'PL XII-VX,VT,BM'!D18+'PL XII-VX,VT,BM'!E18</f>
        <v>15980</v>
      </c>
      <c r="E19" s="74">
        <v>7.5</v>
      </c>
      <c r="F19" s="18">
        <f>D19*E19</f>
        <v>119850</v>
      </c>
      <c r="G19" s="18">
        <v>0</v>
      </c>
      <c r="H19" s="18">
        <f>('PL XII-VX,VT,BM'!D8+'PL XII-VX,VT,BM'!E8)*$E$19</f>
        <v>95400</v>
      </c>
      <c r="I19" s="18">
        <f>'PL XII-VX,VT,BM'!$D$9*'PL XIII. Kinh phi'!$E$19</f>
        <v>4200</v>
      </c>
      <c r="J19" s="18">
        <f>'PL XII-VX,VT,BM'!$D$10*'PL XIII. Kinh phi'!$E$19</f>
        <v>2775</v>
      </c>
      <c r="K19" s="18">
        <f>'PL XII-VX,VT,BM'!$D$11*'PL XIII. Kinh phi'!$E$19</f>
        <v>1425</v>
      </c>
      <c r="L19" s="18">
        <f>'PL XII-VX,VT,BM'!$D$12*'PL XIII. Kinh phi'!$E$19</f>
        <v>6225</v>
      </c>
      <c r="M19" s="18">
        <f>'PL XII-VX,VT,BM'!$D$13*'PL XIII. Kinh phi'!$E$19</f>
        <v>3375</v>
      </c>
      <c r="N19" s="18">
        <f>'PL XII-VX,VT,BM'!$D$14*'PL XIII. Kinh phi'!$E$19</f>
        <v>3075</v>
      </c>
      <c r="O19" s="18">
        <f>'PL XII-VX,VT,BM'!$D$15*'PL XIII. Kinh phi'!$E$19</f>
        <v>825</v>
      </c>
      <c r="P19" s="18">
        <f>'PL XII-VX,VT,BM'!$D$16*'PL XIII. Kinh phi'!$E$19</f>
        <v>2025</v>
      </c>
      <c r="Q19" s="18">
        <f>'PL XII-VX,VT,BM'!$D$17*'PL XIII. Kinh phi'!$E$19</f>
        <v>525</v>
      </c>
      <c r="R19" s="82" t="s">
        <v>65</v>
      </c>
      <c r="S19" s="38"/>
      <c r="T19" s="31"/>
      <c r="U19" s="33"/>
    </row>
    <row r="20" spans="1:20" s="9" customFormat="1" ht="18.75">
      <c r="A20" s="41" t="s">
        <v>5</v>
      </c>
      <c r="B20" s="63" t="s">
        <v>66</v>
      </c>
      <c r="C20" s="63"/>
      <c r="D20" s="41"/>
      <c r="E20" s="42"/>
      <c r="F20" s="42">
        <f>SUM(F21:F26)</f>
        <v>43104</v>
      </c>
      <c r="G20" s="42">
        <f aca="true" t="shared" si="4" ref="G20:Q20">SUM(G21:G26)</f>
        <v>0</v>
      </c>
      <c r="H20" s="42">
        <f t="shared" si="4"/>
        <v>29632</v>
      </c>
      <c r="I20" s="42">
        <f t="shared" si="4"/>
        <v>2304</v>
      </c>
      <c r="J20" s="42">
        <f t="shared" si="4"/>
        <v>1536</v>
      </c>
      <c r="K20" s="42">
        <f t="shared" si="4"/>
        <v>800</v>
      </c>
      <c r="L20" s="42">
        <f t="shared" si="4"/>
        <v>3456</v>
      </c>
      <c r="M20" s="42">
        <f t="shared" si="4"/>
        <v>1856</v>
      </c>
      <c r="N20" s="42">
        <f t="shared" si="4"/>
        <v>1664</v>
      </c>
      <c r="O20" s="42">
        <f t="shared" si="4"/>
        <v>448</v>
      </c>
      <c r="P20" s="42">
        <f t="shared" si="4"/>
        <v>1120</v>
      </c>
      <c r="Q20" s="42">
        <f t="shared" si="4"/>
        <v>288</v>
      </c>
      <c r="R20" s="81"/>
      <c r="S20" s="38"/>
      <c r="T20" s="4"/>
    </row>
    <row r="21" spans="1:20" s="32" customFormat="1" ht="18.75">
      <c r="A21" s="17">
        <v>1</v>
      </c>
      <c r="B21" s="53" t="s">
        <v>51</v>
      </c>
      <c r="C21" s="17" t="s">
        <v>9</v>
      </c>
      <c r="D21" s="12">
        <f>'PL XII-VX,VT,BM'!J18</f>
        <v>13470</v>
      </c>
      <c r="E21" s="19">
        <v>0.4</v>
      </c>
      <c r="F21" s="12">
        <f>D21*E21</f>
        <v>5388</v>
      </c>
      <c r="G21" s="16">
        <v>0</v>
      </c>
      <c r="H21" s="13">
        <f>$E$21*'PL XII-VX,VT,BM'!$K$8</f>
        <v>3704</v>
      </c>
      <c r="I21" s="13">
        <f>$E$21*'PL XII-VX,VT,BM'!$K$9</f>
        <v>288</v>
      </c>
      <c r="J21" s="13">
        <f>$E$21*'PL XII-VX,VT,BM'!$K$10</f>
        <v>192</v>
      </c>
      <c r="K21" s="13">
        <f>$E$21*'PL XII-VX,VT,BM'!$K$11</f>
        <v>100</v>
      </c>
      <c r="L21" s="13">
        <f>$E$21*'PL XII-VX,VT,BM'!$K$12</f>
        <v>432</v>
      </c>
      <c r="M21" s="13">
        <f>$E$21*'PL XII-VX,VT,BM'!$K$13</f>
        <v>232</v>
      </c>
      <c r="N21" s="13">
        <f>$E$21*'PL XII-VX,VT,BM'!$K$14</f>
        <v>208</v>
      </c>
      <c r="O21" s="13">
        <f>$E$21*'PL XII-VX,VT,BM'!$K$15</f>
        <v>56</v>
      </c>
      <c r="P21" s="13">
        <f>$E$21*'PL XII-VX,VT,BM'!$K$16</f>
        <v>140</v>
      </c>
      <c r="Q21" s="13">
        <f>$E$21*'PL XII-VX,VT,BM'!$K$17</f>
        <v>36</v>
      </c>
      <c r="R21" s="173" t="s">
        <v>137</v>
      </c>
      <c r="S21" s="38"/>
      <c r="T21" s="31"/>
    </row>
    <row r="22" spans="1:20" s="32" customFormat="1" ht="18.75">
      <c r="A22" s="17">
        <v>2</v>
      </c>
      <c r="B22" s="53" t="s">
        <v>100</v>
      </c>
      <c r="C22" s="17" t="s">
        <v>103</v>
      </c>
      <c r="D22" s="75">
        <f>D21</f>
        <v>13470</v>
      </c>
      <c r="E22" s="19">
        <v>0.4</v>
      </c>
      <c r="F22" s="75">
        <f aca="true" t="shared" si="5" ref="F22:F27">D22*E22</f>
        <v>5388</v>
      </c>
      <c r="G22" s="16"/>
      <c r="H22" s="13">
        <f>H21</f>
        <v>3704</v>
      </c>
      <c r="I22" s="13">
        <f aca="true" t="shared" si="6" ref="I22:Q22">I21</f>
        <v>288</v>
      </c>
      <c r="J22" s="13">
        <f t="shared" si="6"/>
        <v>192</v>
      </c>
      <c r="K22" s="13">
        <f t="shared" si="6"/>
        <v>100</v>
      </c>
      <c r="L22" s="13">
        <f t="shared" si="6"/>
        <v>432</v>
      </c>
      <c r="M22" s="13">
        <f t="shared" si="6"/>
        <v>232</v>
      </c>
      <c r="N22" s="13">
        <f t="shared" si="6"/>
        <v>208</v>
      </c>
      <c r="O22" s="13">
        <f t="shared" si="6"/>
        <v>56</v>
      </c>
      <c r="P22" s="13">
        <f t="shared" si="6"/>
        <v>140</v>
      </c>
      <c r="Q22" s="13">
        <f t="shared" si="6"/>
        <v>36</v>
      </c>
      <c r="R22" s="173"/>
      <c r="S22" s="38"/>
      <c r="T22" s="31"/>
    </row>
    <row r="23" spans="1:20" s="32" customFormat="1" ht="30">
      <c r="A23" s="17">
        <v>3</v>
      </c>
      <c r="B23" s="15" t="s">
        <v>59</v>
      </c>
      <c r="C23" s="17" t="s">
        <v>9</v>
      </c>
      <c r="D23" s="12">
        <f>D21</f>
        <v>13470</v>
      </c>
      <c r="E23" s="19">
        <v>1.2</v>
      </c>
      <c r="F23" s="75">
        <f t="shared" si="5"/>
        <v>16164</v>
      </c>
      <c r="G23" s="16">
        <v>0</v>
      </c>
      <c r="H23" s="13">
        <f>$E$23*'PL XII-VX,VT,BM'!$L$8</f>
        <v>11112</v>
      </c>
      <c r="I23" s="13">
        <f>$E$23*'PL XII-VX,VT,BM'!$L$9</f>
        <v>864</v>
      </c>
      <c r="J23" s="13">
        <f>$E$23*'PL XII-VX,VT,BM'!$L$10</f>
        <v>576</v>
      </c>
      <c r="K23" s="13">
        <f>$E$23*'PL XII-VX,VT,BM'!$L$11</f>
        <v>300</v>
      </c>
      <c r="L23" s="13">
        <f>$E$23*'PL XII-VX,VT,BM'!$L$12</f>
        <v>1296</v>
      </c>
      <c r="M23" s="13">
        <f>$E$23*'PL XII-VX,VT,BM'!$L$13</f>
        <v>696</v>
      </c>
      <c r="N23" s="13">
        <f>$E$23*'PL XII-VX,VT,BM'!$L$14</f>
        <v>624</v>
      </c>
      <c r="O23" s="13">
        <f>$E$23*'PL XII-VX,VT,BM'!$L$15</f>
        <v>168</v>
      </c>
      <c r="P23" s="13">
        <f>$E$23*'PL XII-VX,VT,BM'!$L$16</f>
        <v>420</v>
      </c>
      <c r="Q23" s="13">
        <f>$E$23*'PL XII-VX,VT,BM'!$L$17</f>
        <v>108</v>
      </c>
      <c r="R23" s="173"/>
      <c r="S23" s="38"/>
      <c r="T23" s="31"/>
    </row>
    <row r="24" spans="1:20" s="32" customFormat="1" ht="30">
      <c r="A24" s="17">
        <v>4</v>
      </c>
      <c r="B24" s="15" t="s">
        <v>101</v>
      </c>
      <c r="C24" s="17" t="s">
        <v>9</v>
      </c>
      <c r="D24" s="12">
        <f>D21</f>
        <v>13470</v>
      </c>
      <c r="E24" s="19">
        <v>0.4</v>
      </c>
      <c r="F24" s="75">
        <f t="shared" si="5"/>
        <v>5388</v>
      </c>
      <c r="G24" s="18">
        <f>G21</f>
        <v>0</v>
      </c>
      <c r="H24" s="13">
        <f>H21</f>
        <v>3704</v>
      </c>
      <c r="I24" s="13">
        <f aca="true" t="shared" si="7" ref="I24:Q24">I21</f>
        <v>288</v>
      </c>
      <c r="J24" s="13">
        <f t="shared" si="7"/>
        <v>192</v>
      </c>
      <c r="K24" s="13">
        <f t="shared" si="7"/>
        <v>100</v>
      </c>
      <c r="L24" s="13">
        <f t="shared" si="7"/>
        <v>432</v>
      </c>
      <c r="M24" s="13">
        <f t="shared" si="7"/>
        <v>232</v>
      </c>
      <c r="N24" s="13">
        <f t="shared" si="7"/>
        <v>208</v>
      </c>
      <c r="O24" s="13">
        <f t="shared" si="7"/>
        <v>56</v>
      </c>
      <c r="P24" s="13">
        <f t="shared" si="7"/>
        <v>140</v>
      </c>
      <c r="Q24" s="13">
        <f t="shared" si="7"/>
        <v>36</v>
      </c>
      <c r="R24" s="173"/>
      <c r="S24" s="38"/>
      <c r="T24" s="31"/>
    </row>
    <row r="25" spans="1:20" s="32" customFormat="1" ht="30">
      <c r="A25" s="17">
        <v>5</v>
      </c>
      <c r="B25" s="15" t="s">
        <v>55</v>
      </c>
      <c r="C25" s="17" t="s">
        <v>9</v>
      </c>
      <c r="D25" s="12">
        <f>D21</f>
        <v>13470</v>
      </c>
      <c r="E25" s="19">
        <v>0.4</v>
      </c>
      <c r="F25" s="75">
        <f t="shared" si="5"/>
        <v>5388</v>
      </c>
      <c r="G25" s="18">
        <f>G21</f>
        <v>0</v>
      </c>
      <c r="H25" s="13">
        <f aca="true" t="shared" si="8" ref="H25:Q25">H22</f>
        <v>3704</v>
      </c>
      <c r="I25" s="13">
        <f t="shared" si="8"/>
        <v>288</v>
      </c>
      <c r="J25" s="13">
        <f t="shared" si="8"/>
        <v>192</v>
      </c>
      <c r="K25" s="13">
        <f t="shared" si="8"/>
        <v>100</v>
      </c>
      <c r="L25" s="13">
        <f t="shared" si="8"/>
        <v>432</v>
      </c>
      <c r="M25" s="13">
        <f t="shared" si="8"/>
        <v>232</v>
      </c>
      <c r="N25" s="13">
        <f t="shared" si="8"/>
        <v>208</v>
      </c>
      <c r="O25" s="13">
        <f t="shared" si="8"/>
        <v>56</v>
      </c>
      <c r="P25" s="13">
        <f t="shared" si="8"/>
        <v>140</v>
      </c>
      <c r="Q25" s="13">
        <f t="shared" si="8"/>
        <v>36</v>
      </c>
      <c r="R25" s="173"/>
      <c r="S25" s="38"/>
      <c r="T25" s="31"/>
    </row>
    <row r="26" spans="1:20" s="32" customFormat="1" ht="45">
      <c r="A26" s="17">
        <v>6</v>
      </c>
      <c r="B26" s="15" t="s">
        <v>72</v>
      </c>
      <c r="C26" s="17" t="s">
        <v>9</v>
      </c>
      <c r="D26" s="75">
        <f>D21</f>
        <v>13470</v>
      </c>
      <c r="E26" s="19">
        <v>0.4</v>
      </c>
      <c r="F26" s="75">
        <f t="shared" si="5"/>
        <v>5388</v>
      </c>
      <c r="G26" s="18">
        <v>0</v>
      </c>
      <c r="H26" s="13">
        <f>H21</f>
        <v>3704</v>
      </c>
      <c r="I26" s="13">
        <f aca="true" t="shared" si="9" ref="I26:Q26">I21</f>
        <v>288</v>
      </c>
      <c r="J26" s="13">
        <f t="shared" si="9"/>
        <v>192</v>
      </c>
      <c r="K26" s="13">
        <f t="shared" si="9"/>
        <v>100</v>
      </c>
      <c r="L26" s="13">
        <f t="shared" si="9"/>
        <v>432</v>
      </c>
      <c r="M26" s="13">
        <f t="shared" si="9"/>
        <v>232</v>
      </c>
      <c r="N26" s="13">
        <f t="shared" si="9"/>
        <v>208</v>
      </c>
      <c r="O26" s="13">
        <f t="shared" si="9"/>
        <v>56</v>
      </c>
      <c r="P26" s="13">
        <f t="shared" si="9"/>
        <v>140</v>
      </c>
      <c r="Q26" s="13">
        <f t="shared" si="9"/>
        <v>36</v>
      </c>
      <c r="R26" s="173"/>
      <c r="S26" s="38"/>
      <c r="T26" s="31"/>
    </row>
    <row r="27" spans="1:20" s="32" customFormat="1" ht="18.75">
      <c r="A27" s="17">
        <v>7</v>
      </c>
      <c r="B27" s="15" t="s">
        <v>102</v>
      </c>
      <c r="C27" s="17" t="s">
        <v>9</v>
      </c>
      <c r="D27" s="75">
        <f>'PL XII-VX,VT,BM'!M18</f>
        <v>674.5</v>
      </c>
      <c r="E27" s="19">
        <v>0.4</v>
      </c>
      <c r="F27" s="75">
        <f t="shared" si="5"/>
        <v>269.8</v>
      </c>
      <c r="G27" s="18">
        <v>0</v>
      </c>
      <c r="H27" s="13">
        <f>$E$27*'PL XII-VX,VT,BM'!$M$8</f>
        <v>184</v>
      </c>
      <c r="I27" s="13">
        <f>$E$27*'PL XII-VX,VT,BM'!$M$9</f>
        <v>16</v>
      </c>
      <c r="J27" s="13">
        <f>$E$27*'PL XII-VX,VT,BM'!$M$10</f>
        <v>8</v>
      </c>
      <c r="K27" s="13">
        <f>$E$27*'PL XII-VX,VT,BM'!$M$11</f>
        <v>4</v>
      </c>
      <c r="L27" s="13">
        <f>$E$27*'PL XII-VX,VT,BM'!$M$12</f>
        <v>20</v>
      </c>
      <c r="M27" s="13">
        <f>$E$27*'PL XII-VX,VT,BM'!$M$13</f>
        <v>12</v>
      </c>
      <c r="N27" s="13">
        <f>$E$27*'PL XII-VX,VT,BM'!$M$14</f>
        <v>12</v>
      </c>
      <c r="O27" s="13">
        <f>$E$27*'PL XII-VX,VT,BM'!$M$15</f>
        <v>4</v>
      </c>
      <c r="P27" s="13">
        <f>$E$27*'PL XII-VX,VT,BM'!$M$16</f>
        <v>8</v>
      </c>
      <c r="Q27" s="13">
        <f>$E$27*'PL XII-VX,VT,BM'!$M$17</f>
        <v>1.8</v>
      </c>
      <c r="R27" s="96"/>
      <c r="S27" s="38"/>
      <c r="T27" s="31"/>
    </row>
    <row r="28" spans="1:20" s="9" customFormat="1" ht="18.75">
      <c r="A28" s="41" t="s">
        <v>6</v>
      </c>
      <c r="B28" s="66" t="s">
        <v>61</v>
      </c>
      <c r="C28" s="63"/>
      <c r="D28" s="41"/>
      <c r="E28" s="42"/>
      <c r="F28" s="42">
        <f>F29+F30</f>
        <v>3429.6</v>
      </c>
      <c r="G28" s="42">
        <f aca="true" t="shared" si="10" ref="G28:Q28">G29+G30</f>
        <v>3429.6</v>
      </c>
      <c r="H28" s="42">
        <f t="shared" si="10"/>
        <v>0</v>
      </c>
      <c r="I28" s="42">
        <f t="shared" si="10"/>
        <v>0</v>
      </c>
      <c r="J28" s="42">
        <f t="shared" si="10"/>
        <v>0</v>
      </c>
      <c r="K28" s="42">
        <f t="shared" si="10"/>
        <v>0</v>
      </c>
      <c r="L28" s="42">
        <f t="shared" si="10"/>
        <v>0</v>
      </c>
      <c r="M28" s="42">
        <f t="shared" si="10"/>
        <v>0</v>
      </c>
      <c r="N28" s="42">
        <f t="shared" si="10"/>
        <v>0</v>
      </c>
      <c r="O28" s="42">
        <f t="shared" si="10"/>
        <v>0</v>
      </c>
      <c r="P28" s="42">
        <f t="shared" si="10"/>
        <v>0</v>
      </c>
      <c r="Q28" s="42">
        <f t="shared" si="10"/>
        <v>0</v>
      </c>
      <c r="R28" s="81"/>
      <c r="S28" s="38"/>
      <c r="T28" s="4"/>
    </row>
    <row r="29" spans="1:20" s="14" customFormat="1" ht="45.75">
      <c r="A29" s="17">
        <v>1</v>
      </c>
      <c r="B29" s="11" t="s">
        <v>129</v>
      </c>
      <c r="C29" s="64" t="s">
        <v>32</v>
      </c>
      <c r="D29" s="64">
        <f>1*2*9</f>
        <v>18</v>
      </c>
      <c r="E29" s="64">
        <v>90</v>
      </c>
      <c r="F29" s="13">
        <f>D29*E29</f>
        <v>1620</v>
      </c>
      <c r="G29" s="64">
        <f>F29</f>
        <v>1620</v>
      </c>
      <c r="H29" s="75"/>
      <c r="I29" s="64"/>
      <c r="J29" s="64"/>
      <c r="K29" s="64"/>
      <c r="L29" s="64"/>
      <c r="M29" s="64"/>
      <c r="N29" s="64"/>
      <c r="O29" s="64"/>
      <c r="P29" s="64"/>
      <c r="Q29" s="64"/>
      <c r="R29" s="176"/>
      <c r="S29" s="38"/>
      <c r="T29" s="4"/>
    </row>
    <row r="30" spans="1:20" s="14" customFormat="1" ht="18.75">
      <c r="A30" s="17">
        <v>2</v>
      </c>
      <c r="B30" s="11" t="s">
        <v>62</v>
      </c>
      <c r="C30" s="64" t="s">
        <v>43</v>
      </c>
      <c r="D30" s="64">
        <f>(110+29+54+40+70+64+28+20+139+200)*2</f>
        <v>1508</v>
      </c>
      <c r="E30" s="19">
        <v>1.2</v>
      </c>
      <c r="F30" s="67">
        <f>(E30*D30)</f>
        <v>1809.6</v>
      </c>
      <c r="G30" s="64">
        <f>F30</f>
        <v>1809.6</v>
      </c>
      <c r="H30" s="75"/>
      <c r="I30" s="64"/>
      <c r="J30" s="64"/>
      <c r="K30" s="64"/>
      <c r="L30" s="64"/>
      <c r="M30" s="64"/>
      <c r="N30" s="64"/>
      <c r="O30" s="64"/>
      <c r="P30" s="64"/>
      <c r="Q30" s="64"/>
      <c r="R30" s="175"/>
      <c r="S30" s="38"/>
      <c r="T30" s="4"/>
    </row>
    <row r="31" spans="1:20" s="9" customFormat="1" ht="18.75">
      <c r="A31" s="85" t="s">
        <v>45</v>
      </c>
      <c r="B31" s="86" t="s">
        <v>60</v>
      </c>
      <c r="C31" s="87"/>
      <c r="D31" s="87"/>
      <c r="E31" s="88"/>
      <c r="F31" s="89">
        <f>F32+F33</f>
        <v>8150</v>
      </c>
      <c r="G31" s="89">
        <f>G32</f>
        <v>0</v>
      </c>
      <c r="H31" s="89">
        <f aca="true" t="shared" si="11" ref="H31:Q31">H32+H33</f>
        <v>5150</v>
      </c>
      <c r="I31" s="89">
        <f t="shared" si="11"/>
        <v>400</v>
      </c>
      <c r="J31" s="89">
        <f t="shared" si="11"/>
        <v>350</v>
      </c>
      <c r="K31" s="89">
        <f t="shared" si="11"/>
        <v>250</v>
      </c>
      <c r="L31" s="89">
        <f t="shared" si="11"/>
        <v>500</v>
      </c>
      <c r="M31" s="89">
        <f t="shared" si="11"/>
        <v>350</v>
      </c>
      <c r="N31" s="89">
        <f t="shared" si="11"/>
        <v>350</v>
      </c>
      <c r="O31" s="89">
        <f t="shared" si="11"/>
        <v>250</v>
      </c>
      <c r="P31" s="89">
        <f t="shared" si="11"/>
        <v>300</v>
      </c>
      <c r="Q31" s="89">
        <f t="shared" si="11"/>
        <v>250</v>
      </c>
      <c r="R31" s="90"/>
      <c r="S31" s="38"/>
      <c r="T31" s="61"/>
    </row>
    <row r="32" spans="1:20" s="14" customFormat="1" ht="75">
      <c r="A32" s="17">
        <v>1</v>
      </c>
      <c r="B32" s="91" t="s">
        <v>130</v>
      </c>
      <c r="C32" s="75" t="s">
        <v>32</v>
      </c>
      <c r="D32" s="75">
        <f>2*9+5</f>
        <v>23</v>
      </c>
      <c r="E32" s="75">
        <v>100</v>
      </c>
      <c r="F32" s="13">
        <f>D32*E32</f>
        <v>2300</v>
      </c>
      <c r="G32" s="75"/>
      <c r="H32" s="75">
        <f>E32*5</f>
        <v>500</v>
      </c>
      <c r="I32" s="75">
        <f aca="true" t="shared" si="12" ref="I32:Q32">$E$32*2</f>
        <v>200</v>
      </c>
      <c r="J32" s="75">
        <f t="shared" si="12"/>
        <v>200</v>
      </c>
      <c r="K32" s="75">
        <f t="shared" si="12"/>
        <v>200</v>
      </c>
      <c r="L32" s="75">
        <f t="shared" si="12"/>
        <v>200</v>
      </c>
      <c r="M32" s="75">
        <f t="shared" si="12"/>
        <v>200</v>
      </c>
      <c r="N32" s="75">
        <f t="shared" si="12"/>
        <v>200</v>
      </c>
      <c r="O32" s="75">
        <f t="shared" si="12"/>
        <v>200</v>
      </c>
      <c r="P32" s="75">
        <f t="shared" si="12"/>
        <v>200</v>
      </c>
      <c r="Q32" s="75">
        <f t="shared" si="12"/>
        <v>200</v>
      </c>
      <c r="R32" s="174" t="s">
        <v>136</v>
      </c>
      <c r="S32" s="38"/>
      <c r="T32" s="4"/>
    </row>
    <row r="33" spans="1:20" s="14" customFormat="1" ht="30">
      <c r="A33" s="17">
        <v>2</v>
      </c>
      <c r="B33" s="60" t="s">
        <v>67</v>
      </c>
      <c r="C33" s="75" t="s">
        <v>11</v>
      </c>
      <c r="D33" s="75">
        <f>ROUND(D11/150,0)</f>
        <v>117</v>
      </c>
      <c r="E33" s="75">
        <v>50</v>
      </c>
      <c r="F33" s="13">
        <f>D33*E33</f>
        <v>5850</v>
      </c>
      <c r="G33" s="75"/>
      <c r="H33" s="75">
        <f>$E$33*ROUND('PL XII-VX,VT,BM'!$F$8/150,0)</f>
        <v>4650</v>
      </c>
      <c r="I33" s="75">
        <f>$E$33*ROUND('PL XII-VX,VT,BM'!$F$9/150,0)</f>
        <v>200</v>
      </c>
      <c r="J33" s="75">
        <f>$E$33*ROUND('PL XII-VX,VT,BM'!$F$10/150,0)</f>
        <v>150</v>
      </c>
      <c r="K33" s="75">
        <f>$E$33*ROUND('PL XII-VX,VT,BM'!$F$11/150,0)</f>
        <v>50</v>
      </c>
      <c r="L33" s="75">
        <f>$E$33*ROUND('PL XII-VX,VT,BM'!$F$12/150,0)</f>
        <v>300</v>
      </c>
      <c r="M33" s="75">
        <f>$E$33*ROUND('PL XII-VX,VT,BM'!$F$13/150,0)</f>
        <v>150</v>
      </c>
      <c r="N33" s="75">
        <f>$E$33*ROUND('PL XII-VX,VT,BM'!$F$14/150,0)</f>
        <v>150</v>
      </c>
      <c r="O33" s="75">
        <f>$E$33*ROUND('PL XII-VX,VT,BM'!$F$15/150,0)</f>
        <v>50</v>
      </c>
      <c r="P33" s="75">
        <f>$E$33*ROUND('PL XII-VX,VT,BM'!$F$16/150,0)</f>
        <v>100</v>
      </c>
      <c r="Q33" s="75">
        <f>$E$33*ROUND('PL XII-VX,VT,BM'!$F$17/150,0)</f>
        <v>50</v>
      </c>
      <c r="R33" s="175"/>
      <c r="S33" s="38"/>
      <c r="T33" s="4"/>
    </row>
    <row r="34" spans="1:20" s="14" customFormat="1" ht="18.75">
      <c r="A34" s="85" t="s">
        <v>46</v>
      </c>
      <c r="B34" s="86" t="s">
        <v>68</v>
      </c>
      <c r="C34" s="87"/>
      <c r="D34" s="87"/>
      <c r="E34" s="88"/>
      <c r="F34" s="89">
        <f>SUM(F35:F37)</f>
        <v>32750</v>
      </c>
      <c r="G34" s="89">
        <f>SUM(G35:G37)</f>
        <v>0</v>
      </c>
      <c r="H34" s="89">
        <f aca="true" t="shared" si="13" ref="H34:Q34">SUM(H35:H37)</f>
        <v>5975</v>
      </c>
      <c r="I34" s="89">
        <f t="shared" si="13"/>
        <v>2975</v>
      </c>
      <c r="J34" s="89">
        <f t="shared" si="13"/>
        <v>2975</v>
      </c>
      <c r="K34" s="89">
        <f t="shared" si="13"/>
        <v>2975</v>
      </c>
      <c r="L34" s="89">
        <f t="shared" si="13"/>
        <v>2975</v>
      </c>
      <c r="M34" s="89">
        <f t="shared" si="13"/>
        <v>2975</v>
      </c>
      <c r="N34" s="89">
        <f t="shared" si="13"/>
        <v>2975</v>
      </c>
      <c r="O34" s="89">
        <f t="shared" si="13"/>
        <v>2975</v>
      </c>
      <c r="P34" s="89">
        <f t="shared" si="13"/>
        <v>2975</v>
      </c>
      <c r="Q34" s="89">
        <f t="shared" si="13"/>
        <v>2975</v>
      </c>
      <c r="R34" s="90"/>
      <c r="S34" s="38"/>
      <c r="T34" s="4"/>
    </row>
    <row r="35" spans="1:20" s="14" customFormat="1" ht="90">
      <c r="A35" s="17">
        <v>1</v>
      </c>
      <c r="B35" s="69" t="s">
        <v>131</v>
      </c>
      <c r="C35" s="10" t="s">
        <v>69</v>
      </c>
      <c r="D35" s="75">
        <f>2*9+5</f>
        <v>23</v>
      </c>
      <c r="E35" s="75">
        <v>1000</v>
      </c>
      <c r="F35" s="13">
        <f>D35*E35</f>
        <v>23000</v>
      </c>
      <c r="G35" s="75"/>
      <c r="H35" s="75">
        <f>E35*5</f>
        <v>5000</v>
      </c>
      <c r="I35" s="75">
        <f aca="true" t="shared" si="14" ref="I35:Q35">$E$35*2</f>
        <v>2000</v>
      </c>
      <c r="J35" s="75">
        <f t="shared" si="14"/>
        <v>2000</v>
      </c>
      <c r="K35" s="75">
        <f t="shared" si="14"/>
        <v>2000</v>
      </c>
      <c r="L35" s="75">
        <f t="shared" si="14"/>
        <v>2000</v>
      </c>
      <c r="M35" s="75">
        <f t="shared" si="14"/>
        <v>2000</v>
      </c>
      <c r="N35" s="75">
        <f t="shared" si="14"/>
        <v>2000</v>
      </c>
      <c r="O35" s="75">
        <f t="shared" si="14"/>
        <v>2000</v>
      </c>
      <c r="P35" s="75">
        <f t="shared" si="14"/>
        <v>2000</v>
      </c>
      <c r="Q35" s="75">
        <f t="shared" si="14"/>
        <v>2000</v>
      </c>
      <c r="R35" s="174" t="s">
        <v>138</v>
      </c>
      <c r="S35" s="38"/>
      <c r="T35" s="4"/>
    </row>
    <row r="36" spans="1:20" s="14" customFormat="1" ht="45">
      <c r="A36" s="17">
        <v>2</v>
      </c>
      <c r="B36" s="15" t="s">
        <v>76</v>
      </c>
      <c r="C36" s="10" t="s">
        <v>75</v>
      </c>
      <c r="D36" s="75">
        <v>10</v>
      </c>
      <c r="E36" s="75">
        <v>500</v>
      </c>
      <c r="F36" s="13">
        <f>D36*E36</f>
        <v>5000</v>
      </c>
      <c r="G36" s="75"/>
      <c r="H36" s="75">
        <v>500</v>
      </c>
      <c r="I36" s="75">
        <v>500</v>
      </c>
      <c r="J36" s="75">
        <v>500</v>
      </c>
      <c r="K36" s="75">
        <v>500</v>
      </c>
      <c r="L36" s="75">
        <v>500</v>
      </c>
      <c r="M36" s="75">
        <v>500</v>
      </c>
      <c r="N36" s="75">
        <v>500</v>
      </c>
      <c r="O36" s="75">
        <v>500</v>
      </c>
      <c r="P36" s="75">
        <v>500</v>
      </c>
      <c r="Q36" s="75">
        <v>500</v>
      </c>
      <c r="R36" s="176"/>
      <c r="S36" s="38"/>
      <c r="T36" s="4"/>
    </row>
    <row r="37" spans="1:20" s="14" customFormat="1" ht="45">
      <c r="A37" s="17">
        <v>3</v>
      </c>
      <c r="B37" s="15" t="s">
        <v>104</v>
      </c>
      <c r="C37" s="17" t="s">
        <v>70</v>
      </c>
      <c r="D37" s="75">
        <f>5*10</f>
        <v>50</v>
      </c>
      <c r="E37" s="75">
        <v>95</v>
      </c>
      <c r="F37" s="13">
        <f>D37*E37</f>
        <v>4750</v>
      </c>
      <c r="G37" s="75"/>
      <c r="H37" s="75">
        <f>$E$37*5</f>
        <v>475</v>
      </c>
      <c r="I37" s="75">
        <f aca="true" t="shared" si="15" ref="I37:Q37">$E$37*5</f>
        <v>475</v>
      </c>
      <c r="J37" s="75">
        <f t="shared" si="15"/>
        <v>475</v>
      </c>
      <c r="K37" s="75">
        <f t="shared" si="15"/>
        <v>475</v>
      </c>
      <c r="L37" s="75">
        <f t="shared" si="15"/>
        <v>475</v>
      </c>
      <c r="M37" s="75">
        <f t="shared" si="15"/>
        <v>475</v>
      </c>
      <c r="N37" s="75">
        <f t="shared" si="15"/>
        <v>475</v>
      </c>
      <c r="O37" s="75">
        <f t="shared" si="15"/>
        <v>475</v>
      </c>
      <c r="P37" s="75">
        <f t="shared" si="15"/>
        <v>475</v>
      </c>
      <c r="Q37" s="75">
        <f t="shared" si="15"/>
        <v>475</v>
      </c>
      <c r="R37" s="175"/>
      <c r="S37" s="38"/>
      <c r="T37" s="4"/>
    </row>
    <row r="38" spans="1:20" s="73" customFormat="1" ht="18.75">
      <c r="A38" s="169" t="s">
        <v>47</v>
      </c>
      <c r="B38" s="169"/>
      <c r="C38" s="92"/>
      <c r="D38" s="92"/>
      <c r="E38" s="94"/>
      <c r="F38" s="94">
        <f aca="true" t="shared" si="16" ref="F38:Q38">F34+F31+F28+F20+F18+F15+F9</f>
        <v>219859.4</v>
      </c>
      <c r="G38" s="94">
        <f t="shared" si="16"/>
        <v>3429.6</v>
      </c>
      <c r="H38" s="94">
        <f t="shared" si="16"/>
        <v>140014</v>
      </c>
      <c r="I38" s="94">
        <f t="shared" si="16"/>
        <v>10526</v>
      </c>
      <c r="J38" s="94">
        <f t="shared" si="16"/>
        <v>8427</v>
      </c>
      <c r="K38" s="94">
        <f t="shared" si="16"/>
        <v>6457</v>
      </c>
      <c r="L38" s="94">
        <f t="shared" si="16"/>
        <v>14322.8</v>
      </c>
      <c r="M38" s="94">
        <f t="shared" si="16"/>
        <v>9851</v>
      </c>
      <c r="N38" s="94">
        <f t="shared" si="16"/>
        <v>8955.8</v>
      </c>
      <c r="O38" s="94">
        <f t="shared" si="16"/>
        <v>5209.8</v>
      </c>
      <c r="P38" s="94">
        <f t="shared" si="16"/>
        <v>7124.6</v>
      </c>
      <c r="Q38" s="94">
        <f t="shared" si="16"/>
        <v>5541.8</v>
      </c>
      <c r="R38" s="95"/>
      <c r="S38" s="38"/>
      <c r="T38" s="62"/>
    </row>
    <row r="39" spans="1:19" s="22" customFormat="1" ht="18.75">
      <c r="A39" s="20"/>
      <c r="B39" s="21" t="s">
        <v>33</v>
      </c>
      <c r="C39" s="20"/>
      <c r="D39" s="20"/>
      <c r="E39" s="23"/>
      <c r="F39" s="24"/>
      <c r="G39" s="24"/>
      <c r="H39" s="24"/>
      <c r="I39" s="24"/>
      <c r="J39" s="24"/>
      <c r="K39" s="24"/>
      <c r="L39" s="24"/>
      <c r="M39" s="24"/>
      <c r="R39" s="83"/>
      <c r="S39" s="38"/>
    </row>
    <row r="40" spans="1:19" s="22" customFormat="1" ht="16.5">
      <c r="A40" s="20"/>
      <c r="B40" s="177" t="s">
        <v>57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P40" s="26"/>
      <c r="Q40" s="26"/>
      <c r="R40" s="83"/>
      <c r="S40" s="39"/>
    </row>
    <row r="41" spans="1:19" s="22" customFormat="1" ht="16.5">
      <c r="A41" s="20"/>
      <c r="B41" s="22" t="s">
        <v>52</v>
      </c>
      <c r="D41" s="25"/>
      <c r="E41" s="25"/>
      <c r="F41" s="27"/>
      <c r="I41" s="167">
        <f>J42+J43</f>
        <v>219859.39999999997</v>
      </c>
      <c r="J41" s="167"/>
      <c r="K41" s="51" t="s">
        <v>34</v>
      </c>
      <c r="P41" s="26"/>
      <c r="Q41" s="26"/>
      <c r="R41" s="83"/>
      <c r="S41" s="39"/>
    </row>
    <row r="42" spans="1:19" s="45" customFormat="1" ht="15.75">
      <c r="A42" s="44"/>
      <c r="B42" s="45" t="s">
        <v>53</v>
      </c>
      <c r="D42" s="46"/>
      <c r="E42" s="46"/>
      <c r="F42" s="47"/>
      <c r="J42" s="48">
        <f>G38</f>
        <v>3429.6</v>
      </c>
      <c r="K42" s="52" t="s">
        <v>34</v>
      </c>
      <c r="P42" s="49"/>
      <c r="Q42" s="49"/>
      <c r="R42" s="84"/>
      <c r="S42" s="50"/>
    </row>
    <row r="43" spans="1:19" s="45" customFormat="1" ht="15.75">
      <c r="A43" s="44"/>
      <c r="B43" s="45" t="s">
        <v>54</v>
      </c>
      <c r="D43" s="46"/>
      <c r="E43" s="46"/>
      <c r="F43" s="47"/>
      <c r="I43" s="49"/>
      <c r="J43" s="48">
        <f>SUM(H38:Q38)</f>
        <v>216429.79999999996</v>
      </c>
      <c r="K43" s="52" t="s">
        <v>34</v>
      </c>
      <c r="P43" s="49"/>
      <c r="Q43" s="49"/>
      <c r="R43" s="84"/>
      <c r="S43" s="50"/>
    </row>
    <row r="44" spans="1:18" ht="18.75">
      <c r="A44" s="172" t="s">
        <v>58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93"/>
    </row>
    <row r="47" ht="18.75">
      <c r="M47" s="30"/>
    </row>
    <row r="48" ht="18.75">
      <c r="L48" s="30"/>
    </row>
  </sheetData>
  <sheetProtection/>
  <mergeCells count="24">
    <mergeCell ref="R10:R12"/>
    <mergeCell ref="A38:B38"/>
    <mergeCell ref="A44:Q44"/>
    <mergeCell ref="R21:R26"/>
    <mergeCell ref="R13:R14"/>
    <mergeCell ref="R16:R17"/>
    <mergeCell ref="R32:R33"/>
    <mergeCell ref="R35:R37"/>
    <mergeCell ref="R29:R30"/>
    <mergeCell ref="B40:M40"/>
    <mergeCell ref="I41:J41"/>
    <mergeCell ref="E6:E7"/>
    <mergeCell ref="F6:F7"/>
    <mergeCell ref="C6:C7"/>
    <mergeCell ref="D6:D7"/>
    <mergeCell ref="G6:Q6"/>
    <mergeCell ref="A1:Q1"/>
    <mergeCell ref="A2:Q2"/>
    <mergeCell ref="A3:Q3"/>
    <mergeCell ref="A4:Q4"/>
    <mergeCell ref="A6:A7"/>
    <mergeCell ref="O5:R5"/>
    <mergeCell ref="B6:B7"/>
    <mergeCell ref="R6:R7"/>
  </mergeCells>
  <printOptions horizontalCentered="1"/>
  <pageMargins left="0.16" right="0.15748031496062992" top="0.5118110236220472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 0978 520555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HUY</dc:creator>
  <cp:keywords/>
  <dc:description/>
  <cp:lastModifiedBy>Admin</cp:lastModifiedBy>
  <cp:lastPrinted>2021-08-07T09:40:23Z</cp:lastPrinted>
  <dcterms:created xsi:type="dcterms:W3CDTF">2002-01-04T13:11:45Z</dcterms:created>
  <dcterms:modified xsi:type="dcterms:W3CDTF">2021-08-09T10:01:35Z</dcterms:modified>
  <cp:category/>
  <cp:version/>
  <cp:contentType/>
  <cp:contentStatus/>
</cp:coreProperties>
</file>